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dkq49IoYGhBZpVojWRheeoKA5z7oCZdxYIkfhoFHnFej8QDqQSbEVv/exC6hzRTMt5BzSf4Pz0P5WxSe0QlJVQ==" workbookSaltValue="8x8u0HNauYSW7HLSnrfP5w=="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E16" i="13" s="1"/>
  <c r="BA16" i="13"/>
  <c r="BB15" i="13"/>
  <c r="BA15" i="13"/>
  <c r="AZ16" i="13"/>
  <c r="AZ15" i="13"/>
  <c r="AY16" i="13"/>
  <c r="BG16" i="13" s="1"/>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8" i="17" s="1"/>
  <c r="T10" i="17"/>
  <c r="T11" i="17"/>
  <c r="T12" i="17"/>
  <c r="T9" i="17"/>
  <c r="W9" i="16"/>
  <c r="V13" i="20"/>
  <c r="U13" i="20"/>
  <c r="L9" i="16"/>
  <c r="L10" i="16"/>
  <c r="L11" i="16"/>
  <c r="L12" i="16"/>
  <c r="L15" i="16"/>
  <c r="L16" i="16"/>
  <c r="L17" i="16"/>
  <c r="L25" i="16"/>
  <c r="L26" i="16"/>
  <c r="K17" i="2"/>
  <c r="K16" i="2"/>
  <c r="K15" i="2"/>
  <c r="K12" i="2"/>
  <c r="K11" i="2"/>
  <c r="K10" i="2"/>
  <c r="L10" i="2" s="1"/>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BE12" i="21" s="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H13" i="12"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G15" i="8" s="1"/>
  <c r="BB12" i="8"/>
  <c r="BE12" i="8" s="1"/>
  <c r="BA12" i="8"/>
  <c r="AZ12" i="8"/>
  <c r="BD12" i="8" s="1"/>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R13" i="21"/>
  <c r="R13" i="12"/>
  <c r="BF17" i="8"/>
  <c r="ER19" i="8"/>
  <c r="AE13" i="21"/>
  <c r="EL19" i="8"/>
  <c r="EQ19" i="8"/>
  <c r="EN19" i="8"/>
  <c r="BA13" i="16"/>
  <c r="E17" i="3"/>
  <c r="F16" i="10"/>
  <c r="ES19" i="8"/>
  <c r="G18" i="12"/>
  <c r="W19" i="8"/>
  <c r="EP19" i="8"/>
  <c r="EP19" i="19"/>
  <c r="S13" i="16"/>
  <c r="P13" i="16"/>
  <c r="W13" i="20"/>
  <c r="AJ19" i="8"/>
  <c r="BU16" i="17"/>
  <c r="T13" i="16"/>
  <c r="T15" i="11"/>
  <c r="BG12" i="11"/>
  <c r="BH10" i="11"/>
  <c r="AQ10" i="21"/>
  <c r="BK16" i="11"/>
  <c r="BG16" i="11"/>
  <c r="BH16" i="11"/>
  <c r="BJ16" i="11"/>
  <c r="S15" i="17"/>
  <c r="V10" i="16"/>
  <c r="AP13" i="16"/>
  <c r="F11" i="11"/>
  <c r="AQ11" i="11" s="1"/>
  <c r="BF15" i="13"/>
  <c r="BF16" i="13"/>
  <c r="Z20" i="20"/>
  <c r="H20" i="20"/>
  <c r="G18" i="14"/>
  <c r="AK20" i="20"/>
  <c r="T20" i="20"/>
  <c r="O16" i="11"/>
  <c r="C18" i="7" l="1"/>
  <c r="AL19" i="8"/>
  <c r="BM18" i="16"/>
  <c r="AV18" i="21"/>
  <c r="E15" i="3"/>
  <c r="L19" i="8"/>
  <c r="E18" i="12"/>
  <c r="AE13" i="17"/>
  <c r="F13" i="7"/>
  <c r="E10" i="6"/>
  <c r="I19" i="8"/>
  <c r="AY13" i="8"/>
  <c r="I10" i="3"/>
  <c r="E10" i="3"/>
  <c r="BD9" i="8"/>
  <c r="AG19" i="8"/>
  <c r="BE9" i="8"/>
  <c r="AL10" i="11"/>
  <c r="AO12" i="11"/>
  <c r="B12" i="6"/>
  <c r="M18" i="2"/>
  <c r="L11" i="14"/>
  <c r="X12" i="21"/>
  <c r="BJ17" i="11"/>
  <c r="BL17" i="11"/>
  <c r="V17" i="16"/>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P15" i="17"/>
  <c r="BF12" i="11"/>
  <c r="BL15" i="11"/>
  <c r="BL10" i="11"/>
  <c r="BH10" i="16"/>
  <c r="Q15" i="17"/>
  <c r="BM17" i="11"/>
  <c r="BF15" i="11"/>
  <c r="BM9" i="11"/>
  <c r="Q9" i="11" s="1"/>
  <c r="BH12" i="16"/>
  <c r="BK10" i="11"/>
  <c r="L12" i="2"/>
  <c r="BH9" i="16"/>
  <c r="BH15" i="16"/>
  <c r="BF10" i="11"/>
  <c r="X11" i="17"/>
  <c r="BK15" i="11"/>
  <c r="X9" i="17"/>
  <c r="AZ17" i="11"/>
  <c r="BI10" i="11"/>
  <c r="Q10" i="21"/>
  <c r="V9" i="11"/>
  <c r="BJ11" i="11"/>
  <c r="R10" i="21"/>
  <c r="R13" i="21" s="1"/>
  <c r="BI17" i="11"/>
  <c r="BG9" i="11"/>
  <c r="BL11" i="11"/>
  <c r="BH17" i="11"/>
  <c r="BM15" i="11"/>
  <c r="T17" i="16"/>
  <c r="T15" i="16"/>
  <c r="BU15" i="17"/>
  <c r="BW9" i="20"/>
  <c r="BW17" i="20"/>
  <c r="BV16" i="16"/>
  <c r="BW16" i="20"/>
  <c r="BV15" i="16"/>
  <c r="BW15" i="20"/>
  <c r="BU9" i="17"/>
  <c r="BV10" i="16"/>
  <c r="BU17" i="17"/>
  <c r="X15" i="16"/>
  <c r="X18" i="16" s="1"/>
  <c r="BL16" i="11"/>
  <c r="AQ12" i="21"/>
  <c r="T11" i="11"/>
  <c r="BH11" i="11"/>
  <c r="BJ10" i="11"/>
  <c r="BI9" i="11"/>
  <c r="Q17" i="17"/>
  <c r="T16" i="11"/>
  <c r="AZ12" i="11"/>
  <c r="BV9" i="16"/>
  <c r="S17" i="17"/>
  <c r="U9" i="17"/>
  <c r="U19" i="17" s="1"/>
  <c r="BE15" i="13"/>
  <c r="BK9" i="11"/>
  <c r="BK12" i="11"/>
  <c r="Q17" i="20"/>
  <c r="Q18" i="20" s="1"/>
  <c r="BH15" i="11"/>
  <c r="V15" i="11"/>
  <c r="AP16" i="20"/>
  <c r="X13" i="20"/>
  <c r="V12" i="21"/>
  <c r="BL12" i="11"/>
  <c r="S17" i="16"/>
  <c r="S18" i="16" s="1"/>
  <c r="BF16" i="11"/>
  <c r="BF17" i="11"/>
  <c r="P17" i="17"/>
  <c r="BM16" i="11"/>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AI19" i="8"/>
  <c r="D11" i="12"/>
  <c r="AL12" i="11"/>
  <c r="B17" i="6"/>
  <c r="H15" i="2"/>
  <c r="AN17" i="11"/>
  <c r="AN15" i="11"/>
  <c r="R19" i="21"/>
  <c r="BE13" i="21"/>
  <c r="BE19" i="21" s="1"/>
  <c r="BD18" i="19"/>
  <c r="CN19" i="19"/>
  <c r="BD12" i="13"/>
  <c r="AC19" i="13"/>
  <c r="AA19" i="13"/>
  <c r="W19" i="13"/>
  <c r="BE17" i="13"/>
  <c r="BG10" i="13"/>
  <c r="E12" i="6"/>
  <c r="AV18" i="17"/>
  <c r="BE11" i="8"/>
  <c r="I11" i="7" s="1"/>
  <c r="BG12" i="8"/>
  <c r="K12" i="7" s="1"/>
  <c r="BE15" i="8"/>
  <c r="I15" i="7" s="1"/>
  <c r="BD16" i="8"/>
  <c r="AO17" i="17"/>
  <c r="AC19" i="17"/>
  <c r="BN18" i="16"/>
  <c r="BN19" i="16" s="1"/>
  <c r="F11" i="16"/>
  <c r="AH13" i="16"/>
  <c r="M13" i="2"/>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F18" i="13" s="1"/>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C12" i="6"/>
  <c r="I12" i="12" s="1"/>
  <c r="C10" i="6"/>
  <c r="W13" i="17"/>
  <c r="X13" i="17" s="1"/>
  <c r="F15" i="17"/>
  <c r="AQ15" i="17" s="1"/>
  <c r="AT18" i="17"/>
  <c r="AF13" i="21"/>
  <c r="AF19" i="21" s="1"/>
  <c r="AB21" i="21"/>
  <c r="F12" i="21"/>
  <c r="AO13" i="21"/>
  <c r="N13" i="2"/>
  <c r="C10" i="14"/>
  <c r="K10" i="14" s="1"/>
  <c r="F9" i="12"/>
  <c r="G9" i="12"/>
  <c r="E9" i="12"/>
  <c r="BJ18" i="11"/>
  <c r="D9" i="12"/>
  <c r="AP10"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AQ20" i="20"/>
  <c r="U10" i="11"/>
  <c r="O20" i="20"/>
  <c r="X20" i="20"/>
  <c r="AJ20" i="20"/>
  <c r="E20" i="20"/>
  <c r="AF20" i="20"/>
  <c r="W20" i="20"/>
  <c r="G13" i="14"/>
  <c r="F20" i="20"/>
  <c r="AA20" i="20"/>
  <c r="K20" i="20"/>
  <c r="L20" i="20"/>
  <c r="P20" i="20"/>
  <c r="J20" i="20"/>
  <c r="S20" i="20"/>
  <c r="U12" i="11"/>
  <c r="W20" i="21"/>
  <c r="I20" i="20"/>
  <c r="T20" i="21"/>
  <c r="U16" i="11"/>
  <c r="AX20" i="20"/>
  <c r="Y20" i="20"/>
  <c r="O10" i="11"/>
  <c r="AM20" i="20"/>
  <c r="Q20" i="20"/>
  <c r="AB20" i="20"/>
  <c r="AI20" i="20"/>
  <c r="AZ20" i="20"/>
  <c r="AV20" i="20"/>
  <c r="AU20" i="20"/>
  <c r="M20" i="20"/>
  <c r="AQ20" i="21"/>
  <c r="AP20" i="20"/>
  <c r="AH20" i="20"/>
  <c r="N20" i="20"/>
  <c r="AD20" i="20"/>
  <c r="AE20" i="20"/>
  <c r="AG20" i="20"/>
  <c r="I15" i="12" l="1"/>
  <c r="AZ13" i="11"/>
  <c r="I11" i="12"/>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AW20" i="11"/>
  <c r="O17" i="11"/>
  <c r="AO20" i="20"/>
  <c r="H20" i="17"/>
  <c r="U17" i="11"/>
  <c r="AN20" i="20"/>
  <c r="AV20" i="21"/>
  <c r="J11" i="12" l="1"/>
  <c r="BI18" i="16"/>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V20" i="16"/>
  <c r="AS20" i="21"/>
  <c r="AH20" i="21"/>
  <c r="E20" i="16"/>
  <c r="AR20" i="11"/>
  <c r="BI20" i="16"/>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BD20" i="16"/>
  <c r="AV20" i="17"/>
  <c r="BH20" i="16"/>
  <c r="AW20" i="21"/>
  <c r="AO20" i="17"/>
  <c r="I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O20" i="21"/>
  <c r="AI20" i="11"/>
  <c r="W20" i="1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<sst xmlns="http://schemas.openxmlformats.org/spreadsheetml/2006/main" count="2080" uniqueCount="913">
  <si>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</si>
  <si>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</si>
  <si>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</si>
  <si>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</si>
  <si>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</si>
  <si>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</si>
  <si>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</si>
  <si>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</si>
  <si>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</si>
  <si>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</si>
  <si>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</si>
  <si>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</si>
  <si>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</si>
  <si>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</si>
  <si>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</si>
  <si>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</si>
  <si>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</si>
  <si>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</si>
  <si>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</si>
  <si>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</si>
  <si>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</si>
  <si>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</si>
  <si>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</si>
  <si>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</si>
  <si>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</si>
  <si>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</si>
  <si>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</si>
  <si>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</si>
  <si>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</si>
  <si>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</si>
  <si>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</si>
  <si>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</si>
  <si>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</si>
  <si>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</si>
  <si>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</si>
  <si>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</si>
  <si>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</si>
  <si>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</si>
  <si>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</si>
  <si>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</si>
  <si>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</si>
  <si>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</si>
  <si>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</si>
  <si>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</si>
  <si>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</si>
  <si>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</si>
  <si>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</si>
  <si>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</si>
  <si>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</si>
  <si>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</si>
  <si>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</si>
  <si>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</si>
  <si>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</si>
  <si>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</si>
  <si>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</si>
  <si>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</si>
  <si>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</si>
  <si>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</si>
  <si>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</si>
  <si>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</si>
  <si>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</si>
  <si>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</si>
  <si>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</si>
  <si>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</si>
  <si>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</si>
  <si>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</si>
  <si>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</si>
  <si>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</si>
  <si>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</si>
  <si>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</si>
  <si>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</si>
  <si>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</si>
  <si>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</si>
  <si>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</si>
  <si>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</si>
  <si>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</si>
  <si>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</si>
  <si>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</si>
  <si>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</si>
  <si>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</si>
  <si>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</si>
  <si>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</si>
  <si>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</si>
  <si>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</si>
  <si>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</si>
  <si>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</si>
  <si>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</si>
  <si>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</si>
  <si>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</si>
  <si>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</si>
  <si>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</si>
  <si>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</si>
  <si>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</si>
  <si>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</si>
  <si>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</si>
  <si>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</si>
  <si>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</si>
  <si>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</si>
  <si>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</si>
  <si>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</si>
  <si>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</si>
  <si>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</si>
  <si>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</si>
  <si>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</si>
  <si>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</si>
  <si>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</si>
  <si>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</si>
  <si>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</si>
  <si>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</si>
  <si>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</si>
  <si>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</si>
  <si>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</si>
  <si>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</si>
  <si>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</si>
  <si>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</si>
  <si>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</si>
  <si>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</si>
  <si>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</si>
  <si>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</si>
  <si>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</si>
  <si>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</si>
  <si>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</si>
  <si>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</si>
  <si>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</si>
  <si>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</si>
  <si>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</si>
  <si>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</si>
  <si>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</si>
  <si>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</si>
  <si>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</si>
  <si>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</si>
  <si>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</si>
  <si>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</si>
  <si>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</si>
  <si>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</si>
  <si>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</si>
  <si>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</si>
  <si>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</si>
  <si>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</si>
  <si>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</si>
  <si>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</si>
  <si>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</si>
  <si>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</si>
  <si>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</si>
  <si>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</si>
  <si>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</si>
  <si>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</si>
  <si>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</si>
  <si>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</si>
  <si>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</si>
  <si>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</si>
  <si>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</si>
  <si>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</si>
  <si>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</si>
  <si>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</si>
  <si>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</si>
  <si>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</si>
  <si>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</si>
  <si>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</si>
  <si>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</si>
  <si>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</si>
  <si>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</si>
  <si>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</si>
  <si>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</si>
  <si>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</si>
  <si>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</si>
  <si>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</si>
  <si>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</si>
  <si>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</si>
  <si>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</si>
  <si>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</si>
  <si>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</si>
  <si>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</si>
  <si>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</si>
  <si>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</si>
  <si>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</si>
  <si>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</si>
  <si>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</si>
  <si>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</si>
  <si>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</si>
  <si>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</si>
  <si>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</si>
  <si>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</si>
  <si>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</si>
  <si>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</si>
  <si>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</si>
  <si>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</si>
  <si>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</si>
  <si>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</si>
  <si>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</si>
  <si>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</si>
  <si>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</si>
  <si>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</si>
  <si>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</si>
  <si>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</si>
  <si>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</si>
  <si>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</si>
  <si>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</si>
  <si>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</si>
  <si>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</si>
  <si>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</si>
  <si>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</si>
  <si>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</si>
  <si>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</si>
  <si>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</si>
  <si>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</si>
  <si>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</si>
  <si>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</si>
  <si>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</si>
  <si>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</si>
  <si>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</si>
  <si>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</si>
  <si>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</si>
  <si>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</si>
  <si>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</si>
  <si>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</si>
  <si>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</si>
  <si>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</si>
  <si>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</si>
  <si>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</si>
  <si>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</si>
  <si>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</si>
  <si>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</si>
  <si>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</si>
  <si>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</si>
  <si>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</si>
  <si>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</si>
  <si>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</si>
  <si>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</si>
  <si>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</si>
  <si>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</si>
  <si>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</si>
  <si>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</si>
  <si>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</si>
  <si>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</si>
  <si>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</si>
  <si>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</si>
  <si>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</si>
  <si>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</si>
  <si>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</si>
  <si>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</si>
  <si>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</si>
  <si>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</si>
  <si>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</si>
  <si>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</si>
  <si>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</si>
  <si>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</si>
  <si>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</si>
  <si>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</si>
  <si>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</si>
  <si>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</si>
  <si>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</si>
  <si>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</si>
  <si>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</si>
  <si>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</si>
  <si>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</si>
  <si>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</si>
  <si>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</si>
  <si>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</si>
  <si>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</si>
  <si>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</si>
  <si>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</si>
  <si>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</si>
  <si>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</si>
  <si>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</si>
  <si>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</si>
  <si>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</si>
  <si>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</si>
  <si>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</si>
  <si>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</si>
  <si>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</si>
  <si>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</si>
  <si>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</si>
  <si>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</si>
  <si>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</si>
  <si>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</si>
  <si>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</si>
  <si>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</si>
  <si>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</si>
  <si>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</si>
  <si>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</si>
  <si>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</si>
  <si>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</si>
  <si>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</si>
  <si>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</si>
  <si>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</si>
  <si>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</si>
  <si>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</si>
  <si>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</si>
  <si>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</si>
  <si>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</si>
  <si>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</si>
  <si>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</si>
  <si>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</si>
  <si>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</si>
  <si>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</si>
  <si>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</si>
  <si>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</si>
  <si>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</si>
  <si>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</si>
  <si>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</si>
  <si>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</si>
  <si>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</si>
  <si>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</si>
  <si>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</si>
  <si>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</si>
  <si>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</si>
  <si>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</si>
  <si>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</si>
  <si>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</si>
  <si>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</si>
  <si>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</si>
  <si>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</si>
  <si>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</si>
  <si>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</si>
  <si>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</si>
  <si>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</si>
  <si>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</si>
  <si>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</si>
  <si>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</si>
  <si>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</si>
  <si>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</si>
  <si>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</si>
  <si>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</si>
  <si>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</si>
  <si>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</si>
  <si>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</si>
  <si>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</si>
  <si>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</si>
  <si>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</si>
  <si>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</si>
  <si>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</si>
  <si>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</si>
  <si>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</si>
  <si>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</si>
  <si>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</si>
  <si>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</si>
  <si>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</si>
  <si>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</si>
  <si>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</si>
  <si>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</si>
  <si>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</si>
  <si>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</si>
  <si>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</si>
  <si>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</si>
  <si>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</si>
  <si>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</si>
  <si>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</si>
  <si>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</si>
  <si>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</si>
  <si>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</si>
  <si>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</si>
  <si>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</si>
  <si>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</si>
  <si>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</si>
  <si>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</si>
  <si>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</si>
  <si>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</si>
  <si>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</si>
  <si>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</si>
  <si>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</si>
  <si>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</si>
  <si>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</si>
  <si>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</si>
  <si>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</si>
  <si>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</si>
  <si>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</si>
  <si>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</si>
  <si>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</si>
  <si>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</si>
  <si>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</si>
  <si>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</si>
  <si>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</si>
  <si>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</si>
  <si>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</si>
  <si>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</si>
  <si>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</si>
  <si>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</si>
  <si>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</si>
  <si>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</si>
  <si>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</si>
  <si>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</si>
  <si>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</si>
  <si>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</si>
  <si>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</si>
  <si>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</si>
  <si>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</si>
  <si>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</si>
  <si>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</si>
  <si>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</si>
  <si>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</si>
  <si>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</si>
  <si>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</si>
  <si>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</si>
  <si>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</si>
  <si>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</si>
  <si>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</si>
  <si>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</si>
  <si>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</si>
  <si>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</si>
  <si>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</si>
  <si>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</si>
  <si>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</si>
  <si>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</si>
  <si>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</si>
  <si>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</si>
  <si>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</si>
  <si>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</si>
  <si>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</si>
  <si>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</si>
  <si>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</si>
  <si>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</si>
  <si>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</si>
  <si>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</si>
  <si>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</si>
  <si>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</si>
  <si>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</si>
  <si>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</si>
  <si>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</si>
  <si>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</si>
  <si>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</si>
  <si>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</si>
  <si>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</si>
  <si>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</si>
  <si>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</si>
  <si>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</si>
  <si>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</si>
  <si>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</si>
  <si>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</si>
  <si>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</si>
  <si>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</si>
  <si>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</si>
  <si>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</si>
  <si>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</si>
  <si>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</si>
  <si>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</si>
  <si>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</si>
  <si>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</si>
  <si>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</si>
  <si>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</si>
  <si>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</si>
  <si>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</si>
  <si>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</si>
  <si>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</si>
  <si>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</si>
  <si>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</si>
  <si>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</si>
  <si>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</si>
  <si>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</si>
  <si>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</si>
  <si>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</si>
  <si>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</si>
  <si>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</si>
  <si>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</si>
  <si>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</si>
  <si>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</si>
  <si>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</si>
  <si>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</si>
  <si>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</si>
  <si>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</si>
  <si>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</si>
  <si>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</si>
  <si>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</si>
  <si>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</si>
  <si>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</si>
  <si>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</si>
  <si>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</si>
  <si>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</si>
  <si>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</si>
  <si>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</si>
  <si>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</si>
  <si>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</si>
  <si>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</si>
  <si>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</si>
  <si>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</si>
  <si>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</si>
  <si>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</si>
  <si>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</si>
  <si>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</si>
  <si>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</si>
  <si>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</si>
  <si>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</si>
  <si>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</si>
  <si>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</si>
  <si>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</si>
  <si>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</si>
  <si>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</si>
  <si>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</si>
  <si>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</si>
  <si>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</si>
  <si>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</si>
  <si>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</si>
  <si>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</si>
  <si>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</si>
  <si>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</si>
  <si>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</si>
  <si>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</si>
  <si>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</si>
  <si>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</si>
  <si>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</si>
  <si>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</si>
  <si>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</si>
  <si>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</si>
  <si>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</si>
  <si>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</si>
  <si>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</si>
  <si>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</si>
  <si>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</si>
  <si>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</si>
  <si>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</si>
  <si>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</si>
  <si>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</si>
  <si>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</si>
  <si>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</si>
  <si>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</si>
  <si>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</si>
  <si>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</si>
  <si>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</si>
  <si>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</si>
  <si>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</si>
  <si>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</si>
  <si>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</si>
  <si>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</si>
  <si>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</si>
  <si>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</si>
  <si>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</si>
  <si>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</si>
  <si>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</si>
  <si>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</si>
  <si>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</si>
  <si>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</si>
  <si>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</si>
  <si>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</si>
  <si>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</si>
  <si>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</si>
  <si>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</si>
  <si>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</si>
  <si>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</si>
  <si>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</si>
  <si>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</si>
  <si>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</si>
  <si>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</si>
  <si>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</si>
  <si>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</si>
  <si>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</si>
  <si>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</si>
  <si>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</si>
  <si>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</si>
  <si>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</si>
  <si>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</si>
  <si>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</si>
  <si>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</si>
  <si>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</si>
  <si>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</si>
  <si>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</si>
  <si>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</si>
  <si>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</si>
  <si>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</si>
  <si>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</si>
  <si>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</si>
  <si>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</si>
  <si>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</si>
  <si>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</si>
  <si>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</si>
  <si>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</si>
  <si>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</si>
  <si>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</si>
  <si>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</si>
  <si>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</si>
  <si>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</si>
  <si>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</si>
  <si>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</si>
  <si>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</si>
  <si>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</si>
  <si>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</si>
  <si>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</si>
  <si>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</si>
  <si>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</si>
  <si>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</si>
  <si>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</si>
  <si>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</si>
  <si>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</si>
  <si>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</si>
  <si>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</si>
  <si>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</si>
  <si>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</si>
  <si>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</si>
  <si>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</si>
  <si>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</si>
  <si>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</si>
  <si>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</si>
  <si>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</si>
  <si>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</si>
  <si>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</si>
  <si>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</si>
  <si>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</si>
  <si>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</si>
  <si>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</si>
  <si>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</si>
  <si>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</si>
  <si>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</si>
  <si>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</si>
  <si>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</si>
  <si>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</si>
  <si>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</si>
  <si>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</si>
  <si>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</si>
  <si>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</si>
  <si>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</si>
  <si>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</si>
  <si>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</si>
  <si>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</si>
  <si>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</si>
  <si>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</si>
  <si>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</si>
  <si>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</si>
  <si>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</si>
  <si>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</si>
  <si>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</si>
  <si>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</si>
  <si>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</si>
  <si>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</si>
  <si>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</si>
  <si>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</si>
  <si>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</si>
  <si>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</si>
  <si>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</si>
  <si>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</si>
  <si>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</si>
  <si>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</si>
  <si>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</si>
  <si>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</si>
  <si>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</si>
  <si>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</si>
  <si>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</si>
  <si>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</si>
  <si>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</si>
  <si>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</si>
  <si>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</si>
  <si>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</si>
  <si>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</si>
  <si>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</si>
  <si>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</si>
  <si>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</si>
  <si>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</si>
  <si>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</si>
  <si>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</si>
  <si>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</si>
  <si>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</si>
  <si>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</si>
  <si>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</si>
  <si>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</si>
  <si>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</si>
  <si>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</si>
  <si>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</si>
  <si>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</si>
  <si>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</si>
  <si>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</si>
  <si>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</si>
  <si>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</si>
  <si>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</si>
  <si>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</si>
  <si>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</si>
  <si>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</si>
  <si>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</si>
  <si>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</si>
  <si>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</si>
  <si>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</si>
  <si>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</si>
  <si>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</si>
  <si>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</si>
  <si>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</si>
  <si>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</si>
  <si>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</si>
  <si>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</si>
  <si>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</si>
  <si>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</si>
  <si>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</si>
  <si>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</si>
  <si>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</si>
  <si>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</si>
  <si>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</si>
  <si>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</si>
  <si>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</si>
  <si>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</si>
  <si>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</si>
  <si>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</si>
  <si>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</si>
  <si>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</si>
  <si>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</si>
  <si>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</si>
  <si>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</si>
  <si>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</si>
  <si>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</si>
  <si>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</si>
  <si>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</si>
  <si>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</si>
  <si>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</si>
  <si>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</si>
  <si>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</si>
  <si>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</si>
  <si>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</si>
  <si>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</si>
  <si>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</si>
  <si>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</si>
  <si>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</si>
  <si>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</si>
  <si>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</si>
  <si>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</si>
  <si>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</si>
  <si>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</si>
  <si>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</si>
  <si>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</si>
  <si>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</si>
  <si>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</si>
  <si>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</si>
  <si>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</si>
  <si>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</si>
  <si>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</si>
  <si>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</si>
  <si>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</si>
  <si>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</si>
  <si>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</si>
  <si>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</si>
  <si>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</si>
  <si>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</si>
  <si>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</si>
  <si>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</si>
  <si>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</si>
  <si>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</si>
  <si>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</si>
  <si>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</si>
  <si>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</si>
  <si>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</si>
  <si>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</si>
  <si>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</si>
  <si>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</si>
  <si>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</si>
  <si>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</si>
  <si>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</si>
  <si>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</si>
  <si>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</si>
  <si>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</si>
  <si>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</si>
  <si>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</si>
  <si>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</si>
  <si>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</si>
  <si>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</si>
  <si>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</si>
  <si>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</si>
  <si>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</si>
  <si>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</si>
  <si>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</si>
  <si>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</si>
  <si>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</si>
  <si>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</si>
  <si>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</si>
  <si>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</si>
  <si>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</si>
  <si>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</si>
  <si>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</si>
  <si>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</si>
  <si>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</si>
  <si>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</si>
  <si>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</si>
  <si>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</si>
  <si>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</si>
  <si>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</si>
  <si>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</si>
  <si>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</si>
  <si>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</si>
  <si>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</si>
  <si>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</si>
  <si>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</si>
  <si>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</si>
  <si>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</si>
  <si>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</si>
  <si>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</si>
  <si>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</si>
  <si>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</si>
  <si>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</si>
  <si>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</si>
  <si>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</si>
  <si>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</si>
  <si>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</si>
  <si>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</si>
  <si>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</si>
  <si>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</si>
  <si>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</si>
  <si>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</si>
  <si>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</si>
  <si>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</si>
  <si>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</si>
  <si>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</si>
  <si>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</si>
  <si>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</si>
  <si>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</si>
  <si>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</si>
  <si>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</si>
  <si>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</si>
  <si>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</si>
  <si>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</si>
  <si>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</si>
  <si>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</si>
  <si>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</si>
  <si>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</si>
  <si>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</si>
  <si>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</si>
  <si>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</si>
  <si>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</si>
  <si>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</si>
  <si>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</si>
  <si>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</si>
  <si>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</si>
  <si>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</si>
  <si>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</si>
  <si>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</si>
  <si>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</si>
  <si>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</si>
  <si>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</si>
  <si>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</si>
  <si>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</si>
  <si>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</si>
  <si>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</si>
  <si>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</si>
  <si>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</si>
  <si>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</si>
  <si>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</si>
  <si>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</si>
  <si>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</si>
  <si>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</si>
  <si>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</si>
  <si>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</si>
  <si>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</si>
  <si>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</si>
  <si>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</si>
  <si>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</si>
  <si>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</si>
  <si>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</si>
  <si>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</si>
  <si>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</si>
  <si>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</si>
  <si>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</si>
  <si>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</si>
  <si>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</si>
  <si>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</si>
  <si>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</si>
  <si>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</si>
  <si>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</si>
  <si>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</si>
  <si>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</si>
  <si>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</si>
  <si>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</si>
  <si>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</si>
  <si>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</si>
  <si>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</si>
  <si>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</si>
  <si>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</si>
  <si>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</si>
  <si>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</si>
  <si>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</si>
  <si>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</si>
  <si>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</si>
  <si>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</si>
  <si>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</si>
  <si>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</si>
  <si>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</si>
  <si>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</si>
  <si>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</si>
  <si>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</si>
  <si>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</si>
  <si>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</si>
  <si>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</si>
  <si>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</si>
  <si>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</si>
  <si>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</si>
  <si>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</si>
  <si>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</si>
  <si>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</si>
  <si>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</si>
  <si>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</si>
  <si>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</si>
  <si>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</si>
  <si>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</si>
  <si>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</si>
  <si>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</si>
  <si>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</si>
  <si>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</si>
  <si>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</si>
  <si>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</si>
  <si>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</si>
  <si>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</si>
  <si>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</si>
  <si>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</si>
  <si>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</si>
  <si>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</si>
  <si>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</si>
  <si>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</si>
  <si>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</si>
  <si>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</si>
  <si>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</si>
  <si>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</si>
  <si>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</si>
  <si>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</si>
  <si>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</si>
  <si>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</si>
  <si>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</si>
  <si>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</si>
  <si>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</si>
  <si>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</si>
  <si>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</si>
  <si>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ALMERIA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</si>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</sst>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911</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vVplULDiI6s1jdw0pTUX8wHNRoZyhif9e+5lyWHuZYzQdFx6Gvr+v92hh6RfcXADsTyFgWL70lDiAlA9PGgZA==" saltValue="nNGyxnuErtcDObS1FUpw3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ALMERIA</v>
      </c>
      <c r="D3" s="375"/>
      <c r="E3" s="375"/>
      <c r="F3" s="375"/>
    </row>
    <row r="4" spans="1:14" ht="13.5" thickBot="1">
      <c r="A4" s="375"/>
      <c r="B4" s="391" t="str">
        <f>Criterios!A11 &amp;"  "&amp;Criterios!B11</f>
        <v>Resumenes por Partidos Judiciales  ALMERIA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9</v>
      </c>
      <c r="C9" s="403">
        <f>IF(ISNUMBER(IF(J_V="SI",Datos!I9,Datos!I9+Datos!Y9)),IF(J_V="SI",Datos!I9,Datos!I9+Datos!Y9)," - ")</f>
        <v>12630</v>
      </c>
      <c r="D9" s="404">
        <f>IF(ISNUMBER(C9/Datos!BH9),C9/Datos!BH9," - ")</f>
        <v>1403.3333333333333</v>
      </c>
      <c r="E9" s="403">
        <f>IF(ISNUMBER(IF(J_V="SI",Datos!J9,Datos!J9+Datos!Z9)),IF(J_V="SI",Datos!J9,Datos!J9+Datos!Z9)," - ")</f>
        <v>6038</v>
      </c>
      <c r="F9" s="404">
        <f>IF(ISNUMBER(E9/B9),E9/B9," - ")</f>
        <v>670.88888888888891</v>
      </c>
      <c r="G9" s="403">
        <f>IF(ISNUMBER(IF(J_V="SI",Datos!K9,Datos!K9+Datos!AA9)),IF(J_V="SI",Datos!K9,Datos!K9+Datos!AA9)," - ")</f>
        <v>4381</v>
      </c>
      <c r="H9" s="404">
        <f>IF(ISNUMBER(G9/B9),G9/B9," - ")</f>
        <v>486.77777777777777</v>
      </c>
      <c r="I9" s="403">
        <f>IF(ISNUMBER(IF(J_V="SI",Datos!L9,Datos!L9+Datos!AB9)),IF(J_V="SI",Datos!L9,Datos!L9+Datos!AB9)," - ")</f>
        <v>14292</v>
      </c>
      <c r="J9" s="404">
        <f>IF(ISNUMBER(I9/B9),I9/B9," - ")</f>
        <v>1588</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161</v>
      </c>
      <c r="D10" s="404">
        <f>IF(ISNUMBER(C10/Datos!BH10),C10/Datos!BH10," - ")</f>
        <v>161</v>
      </c>
      <c r="E10" s="403">
        <f>IF(ISNUMBER(Datos!J10),Datos!J10," - ")</f>
        <v>36</v>
      </c>
      <c r="F10" s="404">
        <f>IF(ISNUMBER(E10/B10),E10/B10," - ")</f>
        <v>36</v>
      </c>
      <c r="G10" s="403">
        <f>IF(ISNUMBER(Datos!K10),Datos!K10," - ")</f>
        <v>45</v>
      </c>
      <c r="H10" s="404">
        <f>IF(ISNUMBER(G10/B10),G10/B10," - ")</f>
        <v>45</v>
      </c>
      <c r="I10" s="403">
        <f>IF(ISNUMBER(Datos!L10),Datos!L10," - ")</f>
        <v>152</v>
      </c>
      <c r="J10" s="404">
        <f>IF(ISNUMBER(I10/B10),I10/B10," - ")</f>
        <v>152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2</v>
      </c>
      <c r="C11" s="403">
        <f>IF(ISNUMBER(IF(J_V="SI",Datos!I11,Datos!I11+Datos!Y11)),IF(J_V="SI",Datos!I11,Datos!I11+Datos!Y11)," - ")</f>
        <v>1023</v>
      </c>
      <c r="D11" s="404">
        <f>IF(ISNUMBER(C11/Datos!BH11),C11/Datos!BH11," - ")</f>
        <v>511.5</v>
      </c>
      <c r="E11" s="403">
        <f>IF(ISNUMBER(IF(J_V="SI",Datos!J11,Datos!J11+Datos!Z11)),IF(J_V="SI",Datos!J11,Datos!J11+Datos!Z11)," - ")</f>
        <v>491</v>
      </c>
      <c r="F11" s="404">
        <f>IF(ISNUMBER(E11/B11),E11/B11," - ")</f>
        <v>245.5</v>
      </c>
      <c r="G11" s="403">
        <f>IF(ISNUMBER(IF(J_V="SI",Datos!K11,Datos!K11+Datos!AA11)),IF(J_V="SI",Datos!K11,Datos!K11+Datos!AA11)," - ")</f>
        <v>521</v>
      </c>
      <c r="H11" s="404">
        <f>IF(ISNUMBER(G11/B11),G11/B11," - ")</f>
        <v>260.5</v>
      </c>
      <c r="I11" s="403">
        <f>IF(ISNUMBER(IF(J_V="SI",Datos!L11,Datos!L11+Datos!AB11)),IF(J_V="SI",Datos!L11,Datos!L11+Datos!AB11)," - ")</f>
        <v>1012</v>
      </c>
      <c r="J11" s="404">
        <f>IF(ISNUMBER(I11/B11),I11/B11," - ")</f>
        <v>506</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12</v>
      </c>
      <c r="C13" s="849">
        <f>SUBTOTAL(9,C8:C12)</f>
        <v>13814</v>
      </c>
      <c r="D13" s="850" t="str">
        <f>IF(ISNUMBER(C13/Datos!BI13),C13/Datos!BI13," - ")</f>
        <v xml:space="preserve"> - </v>
      </c>
      <c r="E13" s="849">
        <f>SUBTOTAL(9,E8:E12)</f>
        <v>6565</v>
      </c>
      <c r="F13" s="850">
        <f>IF(ISNUMBER(E13/B13),E13/B13," - ")</f>
        <v>547.08333333333337</v>
      </c>
      <c r="G13" s="849">
        <f>SUBTOTAL(9,G8:G12)</f>
        <v>4947</v>
      </c>
      <c r="H13" s="850">
        <f>IF(ISNUMBER(G13/B13),G13/B13," - ")</f>
        <v>412.25</v>
      </c>
      <c r="I13" s="849">
        <f>SUBTOTAL(9,I8:I12)</f>
        <v>15456</v>
      </c>
      <c r="J13" s="850">
        <f>IF(ISNUMBER(I13/B13),I13/B13," - ")</f>
        <v>1288</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6</v>
      </c>
      <c r="C15" s="403">
        <f>IF(ISNUMBER(IF(D_I="SI",Datos!I15,Datos!I15+Datos!AC15)),IF(D_I="SI",Datos!I15,Datos!I15+Datos!AC15)," - ")</f>
        <v>3613</v>
      </c>
      <c r="D15" s="404">
        <f>IF(ISNUMBER(C15/Datos!BH15),C15/Datos!BH15," - ")</f>
        <v>602.16666666666663</v>
      </c>
      <c r="E15" s="403">
        <f>IF(ISNUMBER(IF(D_I="SI",Datos!J15,Datos!J15+Datos!AD15)),IF(D_I="SI",Datos!J15,Datos!J15+Datos!AD15)," - ")</f>
        <v>4864</v>
      </c>
      <c r="F15" s="404">
        <f>IF(ISNUMBER(E15/B15),E15/B15," - ")</f>
        <v>810.66666666666663</v>
      </c>
      <c r="G15" s="403">
        <f>IF(ISNUMBER(IF(D_I="SI",Datos!K15,Datos!K15+Datos!AE15)),IF(D_I="SI",Datos!K15,Datos!K15+Datos!AE15)," - ")</f>
        <v>4843</v>
      </c>
      <c r="H15" s="404">
        <f>IF(ISNUMBER(G15/B15),G15/B15," - ")</f>
        <v>807.16666666666663</v>
      </c>
      <c r="I15" s="403">
        <f>IF(ISNUMBER(IF(D_I="SI",Datos!L15,Datos!L15+Datos!AF15)),IF(D_I="SI",Datos!L15,Datos!L15+Datos!AF15)," - ")</f>
        <v>3678</v>
      </c>
      <c r="J15" s="404">
        <f>IF(ISNUMBER(I15/B15),I15/B15," - ")</f>
        <v>613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542</v>
      </c>
      <c r="D17" s="404">
        <f>IF(ISNUMBER(C17/Datos!BH17),C17/Datos!BH17," - ")</f>
        <v>542</v>
      </c>
      <c r="E17" s="403">
        <f>IF(ISNUMBER(IF(D_I="SI",Datos!J17,Datos!J17+Datos!AD17)),IF(D_I="SI",Datos!J17,Datos!J17+Datos!AD17)," - ")</f>
        <v>484</v>
      </c>
      <c r="F17" s="404">
        <f>IF(ISNUMBER(E17/B17),E17/B17," - ")</f>
        <v>484</v>
      </c>
      <c r="G17" s="403">
        <f>IF(ISNUMBER(IF(D_I="SI",Datos!K17,Datos!K17+Datos!AE17)),IF(D_I="SI",Datos!K17,Datos!K17+Datos!AE17)," - ")</f>
        <v>447</v>
      </c>
      <c r="H17" s="404">
        <f>IF(ISNUMBER(G17/B17),G17/B17," - ")</f>
        <v>447</v>
      </c>
      <c r="I17" s="403">
        <f>IF(ISNUMBER(IF(D_I="SI",Datos!L17,Datos!L17+Datos!AF17)),IF(D_I="SI",Datos!L17,Datos!L17+Datos!AF17)," - ")</f>
        <v>579</v>
      </c>
      <c r="J17" s="404">
        <f>IF(ISNUMBER(I17/B17),I17/B17," - ")</f>
        <v>579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7</v>
      </c>
      <c r="C18" s="849">
        <f>SUBTOTAL(9,C14:C17)</f>
        <v>4155</v>
      </c>
      <c r="D18" s="850" t="str">
        <f>IF(ISNUMBER(C18/Datos!BI18),C18/Datos!BI18," - ")</f>
        <v xml:space="preserve"> - </v>
      </c>
      <c r="E18" s="849">
        <f>SUBTOTAL(9,E14:E17)</f>
        <v>5348</v>
      </c>
      <c r="F18" s="850">
        <f>IF(ISNUMBER(E18/B18),E18/B18," - ")</f>
        <v>764</v>
      </c>
      <c r="G18" s="849">
        <f>SUBTOTAL(9,G14:G17)</f>
        <v>5290</v>
      </c>
      <c r="H18" s="850">
        <f>IF(ISNUMBER(G18/B18),G18/B18," - ")</f>
        <v>755.71428571428567</v>
      </c>
      <c r="I18" s="849">
        <f>SUBTOTAL(9,I14:I17)</f>
        <v>4257</v>
      </c>
      <c r="J18" s="850">
        <f>IF(ISNUMBER(I18/B18),I18/B18," - ")</f>
        <v>608.14285714285711</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18</v>
      </c>
      <c r="C19" s="794">
        <f>SUBTOTAL(9,C9:C18)</f>
        <v>17969</v>
      </c>
      <c r="D19" s="795" t="str">
        <f>IF(ISNUMBER(C19/Datos!BI19),C19/Datos!BI19," - ")</f>
        <v xml:space="preserve"> - </v>
      </c>
      <c r="E19" s="794">
        <f>SUBTOTAL(9,E9:E18)</f>
        <v>11913</v>
      </c>
      <c r="F19" s="795">
        <f>IF(ISNUMBER(E19/B19),E19/B19," - ")</f>
        <v>661.83333333333337</v>
      </c>
      <c r="G19" s="794">
        <f>SUBTOTAL(9,G9:G18)</f>
        <v>10237</v>
      </c>
      <c r="H19" s="795">
        <f>IF(ISNUMBER(G19/B19),G19/B19," - ")</f>
        <v>568.72222222222217</v>
      </c>
      <c r="I19" s="794">
        <f>SUBTOTAL(9,I9:I18)</f>
        <v>19713</v>
      </c>
      <c r="J19" s="795">
        <f>IF(ISNUMBER(I19/B19),I19/B19," - ")</f>
        <v>1095.1666666666667</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0yKiHk729n88HKbf7vs2f2VjtLLodbslmexxlS+nHsC2aOjTVsyDzrCai4u1msKlB6eAR+Ai3ZLcveZ+kWcu6Q==" saltValue="lniAyw74HhqqQaYXihlJX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ALMERIA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v>
      </c>
      <c r="D9" s="403">
        <f>Datos!BK9</f>
        <v>0</v>
      </c>
      <c r="E9" s="403">
        <f>Datos!AQ9</f>
        <v>9</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ArZDpfP5A5cSpN5O5jcp/iG+NiqaxRPQ5OvyfdeABEliimM1/Yt+HbLZrmHKj8l1IY0UMBPbyxsyww8Y84aAsQ==" saltValue="w7g8UsQwh6XMd3fEFGOQw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ALMERIA</v>
      </c>
      <c r="C3" s="391"/>
      <c r="D3" s="425"/>
    </row>
    <row r="4" spans="1:9" ht="13.5" thickBot="1">
      <c r="B4" s="391" t="str">
        <f>Criterios!A11 &amp;"  "&amp;Criterios!B11</f>
        <v>Resumenes por Partidos Judiciales  ALMERIA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9</v>
      </c>
      <c r="C9" s="410">
        <f>Datos!AQ9</f>
        <v>9</v>
      </c>
      <c r="D9" s="403">
        <f>IF(ISNUMBER(Datos!M9),Datos!M9," - ")</f>
        <v>916</v>
      </c>
      <c r="E9" s="404">
        <f t="shared" ref="E9:E13" si="0">IF(ISNUMBER(D9/B9),D9/B9," - ")</f>
        <v>101.77777777777777</v>
      </c>
      <c r="F9" s="403">
        <f>IF(ISNUMBER(Datos!N9),Datos!N9," - ")</f>
        <v>2261</v>
      </c>
      <c r="G9" s="404">
        <f t="shared" ref="G9:G13" si="1">IF(ISNUMBER(F9/B9),F9/B9," - ")</f>
        <v>251.22222222222223</v>
      </c>
      <c r="H9" s="403">
        <f>IF(ISNUMBER(Datos!O9),Datos!O9," - ")</f>
        <v>1708</v>
      </c>
      <c r="I9" s="404">
        <f>IF(ISNUMBER(H9/B9),H9/B9," - ")</f>
        <v>189.77777777777777</v>
      </c>
    </row>
    <row r="10" spans="1:9">
      <c r="A10" s="402" t="str">
        <f>Datos!A10</f>
        <v>Jdos. Violencia contra la mujer</v>
      </c>
      <c r="B10" s="427">
        <f>Datos!AO10</f>
        <v>1</v>
      </c>
      <c r="C10" s="410">
        <f>Datos!AQ10</f>
        <v>1</v>
      </c>
      <c r="D10" s="403">
        <f>IF(ISNUMBER(Datos!M10),Datos!M10," - ")</f>
        <v>29</v>
      </c>
      <c r="E10" s="404">
        <f>IF(ISNUMBER(D10/B10),D10/B10," - ")</f>
        <v>29</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2</v>
      </c>
      <c r="C11" s="410">
        <f>Datos!AQ11</f>
        <v>2</v>
      </c>
      <c r="D11" s="403">
        <f>IF(ISNUMBER(Datos!M11),Datos!M11," - ")</f>
        <v>190</v>
      </c>
      <c r="E11" s="404">
        <f t="shared" si="0"/>
        <v>95</v>
      </c>
      <c r="F11" s="403">
        <f>IF(ISNUMBER(Datos!N11),Datos!N11," - ")</f>
        <v>231</v>
      </c>
      <c r="G11" s="404">
        <f t="shared" si="1"/>
        <v>115.5</v>
      </c>
      <c r="H11" s="403">
        <f>IF(ISNUMBER(Datos!O11),Datos!O11," - ")</f>
        <v>134</v>
      </c>
      <c r="I11" s="404">
        <f t="shared" si="2"/>
        <v>67</v>
      </c>
    </row>
    <row r="12" spans="1:9"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row>
    <row r="13" spans="1:9" ht="14.25" thickTop="1" thickBot="1">
      <c r="A13" s="848" t="str">
        <f>Datos!A13</f>
        <v>TOTAL</v>
      </c>
      <c r="B13" s="849">
        <f>Datos!AO13</f>
        <v>12</v>
      </c>
      <c r="C13" s="851">
        <f>Datos!AR13</f>
        <v>12</v>
      </c>
      <c r="D13" s="849">
        <f>SUBTOTAL(9,D9:D12)</f>
        <v>1135</v>
      </c>
      <c r="E13" s="850">
        <f t="shared" si="0"/>
        <v>94.583333333333329</v>
      </c>
      <c r="F13" s="849">
        <f>SUBTOTAL(9,F9:F12)</f>
        <v>2492</v>
      </c>
      <c r="G13" s="850">
        <f t="shared" si="1"/>
        <v>207.66666666666666</v>
      </c>
      <c r="H13" s="849">
        <f>SUBTOTAL(9,H9:H12)</f>
        <v>1842</v>
      </c>
      <c r="I13" s="850">
        <f>IF(ISNUMBER(H13/B13),H13/B13," - ")</f>
        <v>153.5</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6</v>
      </c>
      <c r="C15" s="428">
        <f>Datos!AQ15</f>
        <v>6</v>
      </c>
      <c r="D15" s="403">
        <f>IF(ISNUMBER(Datos!M15),Datos!M15," - ")</f>
        <v>497</v>
      </c>
      <c r="E15" s="404">
        <f t="shared" ref="E15:E18" si="3">IF(ISNUMBER(D15/B15),D15/B15," - ")</f>
        <v>82.833333333333329</v>
      </c>
      <c r="F15" s="403">
        <f>IF(ISNUMBER(Datos!N15),Datos!N15," - ")</f>
        <v>2762</v>
      </c>
      <c r="G15" s="404">
        <f t="shared" ref="G15:G18" si="4">IF(ISNUMBER(F15/B15),F15/B15," - ")</f>
        <v>460.33333333333331</v>
      </c>
      <c r="H15" s="403">
        <f>IF(ISNUMBER(Datos!O15),Datos!O15," - ")</f>
        <v>59</v>
      </c>
      <c r="I15" s="404">
        <f t="shared" ref="I15:I17" si="5">IF(ISNUMBER(H15/B15),H15/B15," - ")</f>
        <v>9.8333333333333339</v>
      </c>
    </row>
    <row r="16" spans="1:9">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row>
    <row r="17" spans="1:9" ht="13.5" thickBot="1">
      <c r="A17" s="402" t="str">
        <f>Datos!A17</f>
        <v>Jdos. Violencia contra la mujer</v>
      </c>
      <c r="B17" s="427">
        <f>Datos!AO17</f>
        <v>1</v>
      </c>
      <c r="C17" s="428">
        <f>Datos!AQ17</f>
        <v>1</v>
      </c>
      <c r="D17" s="403">
        <f>IF(ISNUMBER(Datos!M17),Datos!M17," - ")</f>
        <v>46</v>
      </c>
      <c r="E17" s="404">
        <f>IF(ISNUMBER(D17/B17),D17/B17," - ")</f>
        <v>46</v>
      </c>
      <c r="F17" s="403">
        <f>IF(ISNUMBER(Datos!N17),Datos!N17," - ")</f>
        <v>335</v>
      </c>
      <c r="G17" s="404">
        <f>IF(ISNUMBER(F17/B17),F17/B17," - ")</f>
        <v>335</v>
      </c>
      <c r="H17" s="403">
        <f>IF(ISNUMBER(Datos!O17),Datos!O17," - ")</f>
        <v>6</v>
      </c>
      <c r="I17" s="404">
        <f t="shared" si="5"/>
        <v>6</v>
      </c>
    </row>
    <row r="18" spans="1:9" ht="14.25" thickTop="1" thickBot="1">
      <c r="A18" s="848" t="str">
        <f>Datos!A18</f>
        <v>TOTAL</v>
      </c>
      <c r="B18" s="849">
        <f>Datos!AO18</f>
        <v>7</v>
      </c>
      <c r="C18" s="851">
        <f>Datos!AR18</f>
        <v>7</v>
      </c>
      <c r="D18" s="849">
        <f>SUBTOTAL(9,D15:D17)</f>
        <v>543</v>
      </c>
      <c r="E18" s="850">
        <f t="shared" si="3"/>
        <v>77.571428571428569</v>
      </c>
      <c r="F18" s="849">
        <f>SUBTOTAL(9,F15:F17)</f>
        <v>3097</v>
      </c>
      <c r="G18" s="850">
        <f t="shared" si="4"/>
        <v>442.42857142857144</v>
      </c>
      <c r="H18" s="849">
        <f>SUBTOTAL(9,H15:H17)</f>
        <v>65</v>
      </c>
      <c r="I18" s="850">
        <f>IF(ISNUMBER(H18/B18),H18/B18," - ")</f>
        <v>9.2857142857142865</v>
      </c>
    </row>
    <row r="19" spans="1:9" ht="14.25" thickTop="1" thickBot="1">
      <c r="A19" s="793" t="str">
        <f>Datos!A19</f>
        <v>TOTAL JURISDICCIONES</v>
      </c>
      <c r="B19" s="794">
        <f>Datos!AP19</f>
        <v>18</v>
      </c>
      <c r="C19" s="794">
        <f>Datos!AR19</f>
        <v>18</v>
      </c>
      <c r="D19" s="794">
        <f>SUBTOTAL(9,D8:D18)</f>
        <v>1678</v>
      </c>
      <c r="E19" s="795">
        <f>IF(ISNUMBER(D19/B19),D19/B19," - ")</f>
        <v>93.222222222222229</v>
      </c>
      <c r="F19" s="794">
        <f>SUBTOTAL(9,F8:F18)</f>
        <v>5589</v>
      </c>
      <c r="G19" s="795">
        <f>IF(ISNUMBER(F19/B19),F19/B19," - ")</f>
        <v>310.5</v>
      </c>
      <c r="H19" s="794">
        <f>SUBTOTAL(9,H8:H18)</f>
        <v>1907</v>
      </c>
      <c r="I19" s="795">
        <f>IF(ISNUMBER(H19/B19),H19/B19," - ")</f>
        <v>105.94444444444444</v>
      </c>
    </row>
    <row r="22" spans="1:9">
      <c r="A22" s="391" t="str">
        <f>Criterios!A4</f>
        <v>Fecha Informe: 29 may. 2024</v>
      </c>
    </row>
    <row r="27" spans="1:9">
      <c r="A27" s="414"/>
    </row>
  </sheetData>
  <sheetProtection algorithmName="SHA-512" hashValue="DMb7zc74DPFR7pAmnFFLj72fUgk/ntwc1bAYlja3p33LsZ7SpIgoAfyM7fDAkqcTnfm/0DIY/1zdFUZx/Sm9bQ==" saltValue="t8FhKPoERW0BdzSm/0t3/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ALMERIA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f>IF(ISNUMBER(Datos!P9),Datos!P9," - ")</f>
        <v>926</v>
      </c>
      <c r="C9" s="434">
        <f>IF(ISNUMBER(Datos!Q9),Datos!Q9," - ")</f>
        <v>634</v>
      </c>
      <c r="D9" s="408">
        <f>IF(ISNUMBER(Datos!R9),Datos!R9," - ")</f>
        <v>16585</v>
      </c>
    </row>
    <row r="10" spans="1:4">
      <c r="A10" s="402" t="str">
        <f>Datos!A10</f>
        <v>Jdos. Violencia contra la mujer</v>
      </c>
      <c r="B10" s="433">
        <f>IF(ISNUMBER(Datos!P10),Datos!P10," - ")</f>
        <v>32</v>
      </c>
      <c r="C10" s="434">
        <f>IF(ISNUMBER(Datos!Q10),Datos!Q10," - ")</f>
        <v>16</v>
      </c>
      <c r="D10" s="408">
        <f>IF(ISNUMBER(Datos!R10),Datos!R10," - ")</f>
        <v>60</v>
      </c>
    </row>
    <row r="11" spans="1:4">
      <c r="A11" s="402" t="str">
        <f>Datos!A11</f>
        <v xml:space="preserve">Jdos. Familia                                   </v>
      </c>
      <c r="B11" s="433">
        <f>IF(ISNUMBER(Datos!P11),Datos!P11," - ")</f>
        <v>46</v>
      </c>
      <c r="C11" s="434">
        <f>IF(ISNUMBER(Datos!Q11),Datos!Q11," - ")</f>
        <v>46</v>
      </c>
      <c r="D11" s="408">
        <f>IF(ISNUMBER(Datos!R11),Datos!R11," - ")</f>
        <v>660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1004</v>
      </c>
      <c r="C13" s="853">
        <f>SUBTOTAL(9,C9:C12)</f>
        <v>696</v>
      </c>
      <c r="D13" s="851">
        <f>SUBTOTAL(9,D9:D12)</f>
        <v>17305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132</v>
      </c>
      <c r="C15" s="434">
        <f>IF(ISNUMBER(Datos!Q15),Datos!Q15," - ")</f>
        <v>201</v>
      </c>
      <c r="D15" s="408">
        <f>IF(ISNUMBER(Datos!R15),Datos!R15," - ")</f>
        <v>313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v>
      </c>
      <c r="C17" s="434">
        <f>IF(ISNUMBER(Datos!Q17),Datos!Q17," - ")</f>
        <v>6</v>
      </c>
      <c r="D17" s="408">
        <f>IF(ISNUMBER(Datos!R17),Datos!R17," - ")</f>
        <v>12</v>
      </c>
    </row>
    <row r="18" spans="1:4" ht="14.25" thickTop="1" thickBot="1">
      <c r="A18" s="848" t="str">
        <f>Datos!A18</f>
        <v>TOTAL</v>
      </c>
      <c r="B18" s="849">
        <f>SUBTOTAL(9,B15:B17)</f>
        <v>137</v>
      </c>
      <c r="C18" s="853">
        <f>SUBTOTAL(9,C15:C17)</f>
        <v>207</v>
      </c>
      <c r="D18" s="851">
        <f>SUBTOTAL(9,D15:D17)</f>
        <v>325</v>
      </c>
    </row>
    <row r="19" spans="1:4" ht="16.5" customHeight="1" thickTop="1" thickBot="1">
      <c r="A19" s="793" t="str">
        <f>Datos!A19</f>
        <v>TOTAL JURISDICCIONES</v>
      </c>
      <c r="B19" s="798">
        <f>SUBTOTAL(9,B8:B18)</f>
        <v>1141</v>
      </c>
      <c r="C19" s="799">
        <f>SUBTOTAL(9,C8:C18)</f>
        <v>903</v>
      </c>
      <c r="D19" s="800">
        <f>SUBTOTAL(9,D8:D18)</f>
        <v>17630</v>
      </c>
    </row>
    <row r="20" spans="1:4" ht="7.5" customHeight="1"/>
    <row r="21" spans="1:4" ht="6" customHeight="1"/>
    <row r="22" spans="1:4">
      <c r="A22" s="391" t="str">
        <f>Criterios!A4</f>
        <v>Fecha Informe: 29 may. 2024</v>
      </c>
    </row>
    <row r="27" spans="1:4">
      <c r="A27" s="414"/>
    </row>
  </sheetData>
  <sheetProtection algorithmName="SHA-512" hashValue="XajmBnn8x83rl4Y+NJactjv/1SlYsU4eWAoIsVYG6QuJo8Z1YaDnnYpx3jOzfrWZ+Jo8M5N9yoLgzKPb3iL2Qw==" saltValue="fbRymqMx+yO736pfdDpHu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ALMERIA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0.2766602648337208</v>
      </c>
      <c r="C9" s="456">
        <f>IF(ISNUMBER(
   IF(J_V="SI",(Datos!J9-Datos!T9)/Datos!T9,(Datos!J9+Datos!Z9-(Datos!T9+Datos!AH9))/(Datos!T9+Datos!AH9))
     ),IF(J_V="SI",(Datos!J9-Datos!T9)/Datos!T9,(Datos!J9+Datos!Z9-(Datos!T9+Datos!AH9))/(Datos!T9+Datos!AH9))," - ")</f>
        <v>0.24906909391808027</v>
      </c>
      <c r="D9" s="456">
        <f>IF(ISNUMBER(
   IF(J_V="SI",(Datos!K9-Datos!U9)/Datos!U9,(Datos!K9+Datos!AA9-(Datos!U9+Datos!AI9))/(Datos!U9+Datos!AI9))
     ),IF(J_V="SI",(Datos!K9-Datos!U9)/Datos!U9,(Datos!K9+Datos!AA9-(Datos!U9+Datos!AI9))/(Datos!U9+Datos!AI9))," - ")</f>
        <v>-4.2822809700677297E-2</v>
      </c>
      <c r="E9" s="456">
        <f>IF(ISNUMBER(
   IF(J_V="SI",(Datos!L9-Datos!V9)/Datos!V9,(Datos!L9+Datos!AB9-(Datos!V9+Datos!AJ9))/(Datos!V9+Datos!AJ9))
     ),IF(J_V="SI",(Datos!L9-Datos!V9)/Datos!V9,(Datos!L9+Datos!AB9-(Datos!V9+Datos!AJ9))/(Datos!V9+Datos!AJ9))," - ")</f>
        <v>0.36909665676788966</v>
      </c>
      <c r="F9" s="456">
        <f>IF(ISNUMBER((Datos!M9-Datos!W9)/Datos!W9),(Datos!M9-Datos!W9)/Datos!W9," - ")</f>
        <v>0.19426336375488917</v>
      </c>
      <c r="G9" s="457">
        <f>IF(ISNUMBER((Datos!N9-Datos!X9)/Datos!X9),(Datos!N9-Datos!X9)/Datos!X9," - ")</f>
        <v>-0.10914105594956659</v>
      </c>
      <c r="H9" s="455">
        <f>IF(ISNUMBER(((NºAsuntos!G9/NºAsuntos!E9)-Datos!BD9)/Datos!BD9),((NºAsuntos!G9/NºAsuntos!E9)-Datos!BD9)/Datos!BD9," - ")</f>
        <v>-0.2336875558285979</v>
      </c>
      <c r="I9" s="456">
        <f>IF(ISNUMBER(((NºAsuntos!I9/NºAsuntos!G9)-Datos!BE9)/Datos!BE9),((NºAsuntos!I9/NºAsuntos!G9)-Datos!BE9)/Datos!BE9," - ")</f>
        <v>0.4303481848953733</v>
      </c>
      <c r="J9" s="461">
        <f>IF(ISNUMBER((('Resol  Asuntos'!D9/NºAsuntos!G9)-Datos!BF9)/Datos!BF9),(('Resol  Asuntos'!D9/NºAsuntos!G9)-Datos!BF9)/Datos!BF9," - ")</f>
        <v>-0.62293908666785736</v>
      </c>
      <c r="K9" s="462">
        <f>IF(ISNUMBER((((NºAsuntos!C9+NºAsuntos!E9)/NºAsuntos!G9)-Datos!BG9)/Datos!BG9),(((NºAsuntos!C9+NºAsuntos!E9)/NºAsuntos!G9)-Datos!BG9)/Datos!BG9," - ")</f>
        <v>0.32431459285000874</v>
      </c>
    </row>
    <row r="10" spans="1:11">
      <c r="A10" s="402" t="str">
        <f>Datos!A10</f>
        <v>Jdos. Violencia contra la mujer</v>
      </c>
      <c r="B10" s="455">
        <f>IF(ISNUMBER((Datos!I10-Datos!S10)/Datos!S10),(Datos!I10-Datos!S10)/Datos!S10," - ")</f>
        <v>-0.22596153846153846</v>
      </c>
      <c r="C10" s="456">
        <f>IF(ISNUMBER((Datos!J10-Datos!T10)/Datos!T10),(Datos!J10-Datos!T10)/Datos!T10," - ")</f>
        <v>-0.30769230769230771</v>
      </c>
      <c r="D10" s="456">
        <f>IF(ISNUMBER((Datos!K10-Datos!U10)/Datos!U10),(Datos!K10-Datos!U10)/Datos!U10," - ")</f>
        <v>-0.2857142857142857</v>
      </c>
      <c r="E10" s="456">
        <f>IF(ISNUMBER((Datos!L10-Datos!V10)/Datos!V10),(Datos!L10-Datos!V10)/Datos!V10," - ")</f>
        <v>-0.22842639593908629</v>
      </c>
      <c r="F10" s="456">
        <f>IF(ISNUMBER((Datos!M10-Datos!W10)/Datos!W10),(Datos!M10-Datos!W10)/Datos!W10," - ")</f>
        <v>-0.39583333333333331</v>
      </c>
      <c r="G10" s="457">
        <f>IF(ISNUMBER((Datos!N10-Datos!X10)/Datos!X10),(Datos!N10-Datos!X10)/Datos!X10," - ")</f>
        <v>-1</v>
      </c>
      <c r="H10" s="455">
        <f>IF(ISNUMBER(((NºAsuntos!G10/NºAsuntos!E10)-Datos!BD10)/Datos!BD10),((NºAsuntos!G10/NºAsuntos!E10)-Datos!BD10)/Datos!BD10," - ")</f>
        <v>3.1746031746031821E-2</v>
      </c>
      <c r="I10" s="456">
        <f>IF(ISNUMBER(((NºAsuntos!I10/NºAsuntos!G10)-Datos!BE10)/Datos!BE10),((NºAsuntos!I10/NºAsuntos!G10)-Datos!BE10)/Datos!BE10," - ")</f>
        <v>8.0203045685279181E-2</v>
      </c>
      <c r="J10" s="461">
        <f>IF(ISNUMBER((('Resol  Asuntos'!D10/NºAsuntos!G10)-Datos!BF10)/Datos!BF10),(('Resol  Asuntos'!D10/NºAsuntos!G10)-Datos!BF10)/Datos!BF10," - ")</f>
        <v>-0.15416666666666656</v>
      </c>
      <c r="K10" s="462">
        <f>IF(ISNUMBER((((NºAsuntos!C10+NºAsuntos!E10)/NºAsuntos!G10)-Datos!BG10)/Datos!BG10),(((NºAsuntos!C10+NºAsuntos!E10)/NºAsuntos!G10)-Datos!BG10)/Datos!BG10," - ")</f>
        <v>6.0769230769230763E-2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-9.7087378640776698E-2</v>
      </c>
      <c r="C11" s="456">
        <f>IF(ISNUMBER(
   IF(J_V="SI",(Datos!J11-Datos!T11)/Datos!T11,(Datos!J11+Datos!Z11-(Datos!T11+Datos!AH11))/(Datos!T11+Datos!AH11))
     ),IF(J_V="SI",(Datos!J11-Datos!T11)/Datos!T11,(Datos!J11+Datos!Z11-(Datos!T11+Datos!AH11))/(Datos!T11+Datos!AH11))," - ")</f>
        <v>-0.1606837606837607</v>
      </c>
      <c r="D11" s="456">
        <f>IF(ISNUMBER(
   IF(J_V="SI",(Datos!K11-Datos!U11)/Datos!U11,(Datos!K11+Datos!AA11-(Datos!U11+Datos!AI11))/(Datos!U11+Datos!AI11))
     ),IF(J_V="SI",(Datos!K11-Datos!U11)/Datos!U11,(Datos!K11+Datos!AA11-(Datos!U11+Datos!AI11))/(Datos!U11+Datos!AI11))," - ")</f>
        <v>3.5785288270377733E-2</v>
      </c>
      <c r="E11" s="456">
        <f>IF(ISNUMBER(
   IF(J_V="SI",(Datos!L11-Datos!V11)/Datos!V11,(Datos!L11+Datos!AB11-(Datos!V11+Datos!AJ11))/(Datos!V11+Datos!AJ11))
     ),IF(J_V="SI",(Datos!L11-Datos!V11)/Datos!V11,(Datos!L11+Datos!AB11-(Datos!V11+Datos!AJ11))/(Datos!V11+Datos!AJ11))," - ")</f>
        <v>-0.16707818930041152</v>
      </c>
      <c r="F11" s="456">
        <f>IF(ISNUMBER((Datos!M11-Datos!W11)/Datos!W11),(Datos!M11-Datos!W11)/Datos!W11," - ")</f>
        <v>-2.0618556701030927E-2</v>
      </c>
      <c r="G11" s="457">
        <f>IF(ISNUMBER((Datos!N11-Datos!X11)/Datos!X11),(Datos!N11-Datos!X11)/Datos!X11," - ")</f>
        <v>5.4794520547945202E-2</v>
      </c>
      <c r="H11" s="455">
        <f>IF(ISNUMBER(((NºAsuntos!G11/NºAsuntos!E11)-Datos!BD11)/Datos!BD11),((NºAsuntos!G11/NºAsuntos!E11)-Datos!BD11)/Datos!BD11," - ")</f>
        <v>0.23408226810218122</v>
      </c>
      <c r="I11" s="456">
        <f>IF(ISNUMBER(((NºAsuntos!I11/NºAsuntos!G11)-Datos!BE11)/Datos!BE11),((NºAsuntos!I11/NºAsuntos!G11)-Datos!BE11)/Datos!BE11," - ")</f>
        <v>-0.19585475857602108</v>
      </c>
      <c r="J11" s="461">
        <f>IF(ISNUMBER((('Resol  Asuntos'!D11/NºAsuntos!G11)-Datos!BF11)/Datos!BF11),(('Resol  Asuntos'!D11/NºAsuntos!G11)-Datos!BF11)/Datos!BF11," - ")</f>
        <v>-0.162394061297645</v>
      </c>
      <c r="K11" s="462">
        <f>IF(ISNUMBER((((NºAsuntos!C11+NºAsuntos!E11)/NºAsuntos!G11)-Datos!BG11)/Datos!BG11),(((NºAsuntos!C11+NºAsuntos!E11)/NºAsuntos!G11)-Datos!BG11)/Datos!BG11," - ")</f>
        <v>-0.14918923267022541</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0.22965996083318496</v>
      </c>
      <c r="C13" s="855">
        <f>IF(ISNUMBER(
   IF(J_V="SI",(Datos!J13-Datos!T13)/Datos!T13,(Datos!J13+Datos!Z13-(Datos!T13+Datos!AH13))/(Datos!T13+Datos!AH13))
     ),IF(J_V="SI",(Datos!J13-Datos!T13)/Datos!T13,(Datos!J13+Datos!Z13-(Datos!T13+Datos!AH13))/(Datos!T13+Datos!AH13))," - ")</f>
        <v>0.19996344361177115</v>
      </c>
      <c r="D13" s="855">
        <f>IF(ISNUMBER(
   IF(J_V="SI",(Datos!K13-Datos!U13)/Datos!U13,(Datos!K13+Datos!AA13-(Datos!U13+Datos!AI13))/(Datos!U13+Datos!AI13))
     ),IF(J_V="SI",(Datos!K13-Datos!U13)/Datos!U13,(Datos!K13+Datos!AA13-(Datos!U13+Datos!AI13))/(Datos!U13+Datos!AI13))," - ")</f>
        <v>-3.8110052498541706E-2</v>
      </c>
      <c r="E13" s="855">
        <f>IF(ISNUMBER(
   IF(J_V="SI",(Datos!L13-Datos!V13)/Datos!V13,(Datos!L13+Datos!AB13-(Datos!V13+Datos!AJ13))/(Datos!V13+Datos!AJ13))
     ),IF(J_V="SI",(Datos!L13-Datos!V13)/Datos!V13,(Datos!L13+Datos!AB13-(Datos!V13+Datos!AJ13))/(Datos!V13+Datos!AJ13))," - ")</f>
        <v>0.30419373892498525</v>
      </c>
      <c r="F13" s="856">
        <f>IF(ISNUMBER((Datos!M13-Datos!W13)/Datos!W13),(Datos!M13-Datos!W13)/Datos!W13," - ")</f>
        <v>0.12487611496531219</v>
      </c>
      <c r="G13" s="857">
        <f>IF(ISNUMBER((Datos!N13-Datos!X13)/Datos!X13),(Datos!N13-Datos!X13)/Datos!X13," - ")</f>
        <v>-0.10101010101010101</v>
      </c>
      <c r="H13" s="857">
        <f>IF(ISNUMBER(((NºAsuntos!G13/NºAsuntos!E13)-Datos!BD13)/Datos!BD13),((NºAsuntos!G13/NºAsuntos!E13)-Datos!BD13)/Datos!BD13," - ")</f>
        <v>-0.19840062410046033</v>
      </c>
      <c r="I13" s="857">
        <f>IF(ISNUMBER(((NºAsuntos!I13/NºAsuntos!G13)-Datos!BE13)/Datos!BE13),((NºAsuntos!I13/NºAsuntos!G13)-Datos!BE13)/Datos!BE13," - ")</f>
        <v>0.35586585795253667</v>
      </c>
      <c r="J13" s="857">
        <f>IF(ISNUMBER((('Resol  Asuntos'!D13/NºAsuntos!G13)-Datos!BF13)/Datos!BF13),(('Resol  Asuntos'!D13/NºAsuntos!G13)-Datos!BF13)/Datos!BF13," - ")</f>
        <v>-0.57933380824259439</v>
      </c>
      <c r="K13" s="857">
        <f>IF(ISNUMBER((((NºAsuntos!C13+NºAsuntos!E13)/NºAsuntos!G13)-Datos!BG13)/Datos!BG13),(((NºAsuntos!C13+NºAsuntos!E13)/NºAsuntos!G13)-Datos!BG13)/Datos!BG13," - ")</f>
        <v>0.26826790800806405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0.31717098067808969</v>
      </c>
      <c r="C15" s="456">
        <f>IF(ISNUMBER(
   IF(D_I="SI",(Datos!J15-Datos!T15)/Datos!T15,(Datos!J15+Datos!AD15-(Datos!T15+Datos!AL15))/(Datos!T15+Datos!AL15))
     ),IF(D_I="SI",(Datos!J15-Datos!T15)/Datos!T15,(Datos!J15+Datos!AD15-(Datos!T15+Datos!AL15))/(Datos!T15+Datos!AL15))," - ")</f>
        <v>5.8772311710927297E-2</v>
      </c>
      <c r="D15" s="456">
        <f>IF(ISNUMBER(
   IF(D_I="SI",(Datos!K15-Datos!U15)/Datos!U15,(Datos!K15+Datos!AE15-(Datos!U15+Datos!AM15))/(Datos!U15+Datos!AM15))
     ),IF(D_I="SI",(Datos!K15-Datos!U15)/Datos!U15,(Datos!K15+Datos!AE15-(Datos!U15+Datos!AM15))/(Datos!U15+Datos!AM15))," - ")</f>
        <v>7.6940182343784747E-2</v>
      </c>
      <c r="E15" s="456">
        <f>IF(ISNUMBER(
   IF(D_I="SI",(Datos!L15-Datos!V15)/Datos!V15,(Datos!L15+Datos!AF15-(Datos!V15+Datos!AN15))/(Datos!V15+Datos!AN15))
     ),IF(D_I="SI",(Datos!L15-Datos!V15)/Datos!V15,(Datos!L15+Datos!AF15-(Datos!V15+Datos!AN15))/(Datos!V15+Datos!AN15))," - ")</f>
        <v>0.28646379853095488</v>
      </c>
      <c r="F15" s="456">
        <f>IF(ISNUMBER((Datos!M15-Datos!W15)/Datos!W15),(Datos!M15-Datos!W15)/Datos!W15," - ")</f>
        <v>0.17216981132075471</v>
      </c>
      <c r="G15" s="457">
        <f>IF(ISNUMBER((Datos!N15-Datos!X15)/Datos!X15),(Datos!N15-Datos!X15)/Datos!X15," - ")</f>
        <v>2.0694752402069475E-2</v>
      </c>
      <c r="H15" s="455">
        <f>IF(ISNUMBER(((NºAsuntos!G15/NºAsuntos!E15)-Datos!BD15)/Datos!BD15),((NºAsuntos!G15/NºAsuntos!E15)-Datos!BD15)/Datos!BD15," - ")</f>
        <v>1.7159374524536856E-2</v>
      </c>
      <c r="I15" s="456">
        <f>IF(ISNUMBER(((NºAsuntos!I15/NºAsuntos!G15)-Datos!BE15)/Datos!BE15),((NºAsuntos!I15/NºAsuntos!G15)-Datos!BE15)/Datos!BE15," - ")</f>
        <v>0.19455455337470665</v>
      </c>
      <c r="J15" s="461">
        <f>IF(ISNUMBER((('Resol  Asuntos'!D15/NºAsuntos!G15)-Datos!BF15)/Datos!BF15),(('Resol  Asuntos'!D15/NºAsuntos!G15)-Datos!BF15)/Datos!BF15," - ")</f>
        <v>8.8426108096104516E-2</v>
      </c>
      <c r="K15" s="462">
        <f>IF(ISNUMBER((((NºAsuntos!C15+NºAsuntos!E15)/NºAsuntos!G15)-Datos!BG15)/Datos!BG15),(((NºAsuntos!C15+NºAsuntos!E15)/NºAsuntos!G15)-Datos!BG15)/Datos!BG15," - ")</f>
        <v>7.2832898213105068E-2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2.6515151515151516E-2</v>
      </c>
      <c r="C17" s="456">
        <f>IF(ISNUMBER(
   IF(D_I="SI",(Datos!J17-Datos!T17)/Datos!T17,(Datos!J17+Datos!AD17-(Datos!T17+Datos!AL17))/(Datos!T17+Datos!AL17))
     ),IF(D_I="SI",(Datos!J17-Datos!T17)/Datos!T17,(Datos!J17+Datos!AD17-(Datos!T17+Datos!AL17))/(Datos!T17+Datos!AL17))," - ")</f>
        <v>-0.17264957264957265</v>
      </c>
      <c r="D17" s="456">
        <f>IF(ISNUMBER(
   IF(D_I="SI",(Datos!K17-Datos!U17)/Datos!U17,(Datos!K17+Datos!AE17-(Datos!U17+Datos!AM17))/(Datos!U17+Datos!AM17))
     ),IF(D_I="SI",(Datos!K17-Datos!U17)/Datos!U17,(Datos!K17+Datos!AE17-(Datos!U17+Datos!AM17))/(Datos!U17+Datos!AM17))," - ")</f>
        <v>-0.2719869706840391</v>
      </c>
      <c r="E17" s="456">
        <f>IF(ISNUMBER(
   IF(D_I="SI",(Datos!L17-Datos!V17)/Datos!V17,(Datos!L17+Datos!AF17-(Datos!V17+Datos!AN17))/(Datos!V17+Datos!AN17))
     ),IF(D_I="SI",(Datos!L17-Datos!V17)/Datos!V17,(Datos!L17+Datos!AF17-(Datos!V17+Datos!AN17))/(Datos!V17+Datos!AN17))," - ")</f>
        <v>0.13976377952755906</v>
      </c>
      <c r="F17" s="456">
        <f>IF(ISNUMBER((Datos!M17-Datos!W17)/Datos!W17),(Datos!M17-Datos!W17)/Datos!W17," - ")</f>
        <v>-0.20689655172413793</v>
      </c>
      <c r="G17" s="457">
        <f>IF(ISNUMBER((Datos!N17-Datos!X17)/Datos!X17),(Datos!N17-Datos!X17)/Datos!X17," - ")</f>
        <v>0.13945578231292516</v>
      </c>
      <c r="H17" s="455">
        <f>IF(ISNUMBER(((NºAsuntos!G17/NºAsuntos!E17)-Datos!BD17)/Datos!BD17),((NºAsuntos!G17/NºAsuntos!E17)-Datos!BD17)/Datos!BD17," - ")</f>
        <v>-0.12006689638463408</v>
      </c>
      <c r="I17" s="456">
        <f>IF(ISNUMBER(((NºAsuntos!I17/NºAsuntos!G17)-Datos!BE17)/Datos!BE17),((NºAsuntos!I17/NºAsuntos!G17)-Datos!BE17)/Datos!BE17," - ")</f>
        <v>0.56558156740474552</v>
      </c>
      <c r="J17" s="461">
        <f>IF(ISNUMBER((('Resol  Asuntos'!D17/NºAsuntos!G17)-Datos!BF17)/Datos!BF17),(('Resol  Asuntos'!D17/NºAsuntos!G17)-Datos!BF17)/Datos!BF17," - ")</f>
        <v>8.9408315976240063E-2</v>
      </c>
      <c r="K17" s="462">
        <f>IF(ISNUMBER((((NºAsuntos!C17+NºAsuntos!E17)/NºAsuntos!G17)-Datos!BG17)/Datos!BG17),(((NºAsuntos!C17+NºAsuntos!E17)/NºAsuntos!G17)-Datos!BG17)/Datos!BG17," - ")</f>
        <v>0.26623129940845536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0.27025374503210026</v>
      </c>
      <c r="C18" s="855">
        <f>IF(ISNUMBER(
   IF(Criterios!B14="SI",(Datos!J18-Datos!T18)/Datos!T18,(Datos!J18+Datos!AD18-(Datos!T18+Datos!AL18))/(Datos!T18+Datos!AL18))
     ),IF(Criterios!B14="SI",(Datos!J18-Datos!T18)/Datos!T18,(Datos!J18+Datos!AD18-(Datos!T18+Datos!AL18))/(Datos!T18+Datos!AL18))," - ")</f>
        <v>3.2631782197335396E-2</v>
      </c>
      <c r="D18" s="855">
        <f>IF(ISNUMBER(
   IF(Criterios!B14="SI",(Datos!K18-Datos!U18)/Datos!U18,(Datos!K18+Datos!AE18-(Datos!U18+Datos!AM18))/(Datos!U18+Datos!AM18))
     ),IF(Criterios!B14="SI",(Datos!K18-Datos!U18)/Datos!U18,(Datos!K18+Datos!AE18-(Datos!U18+Datos!AM18))/(Datos!U18+Datos!AM18))," - ")</f>
        <v>3.5022500489141066E-2</v>
      </c>
      <c r="E18" s="855">
        <f>IF(ISNUMBER(
   IF(Criterios!B14="SI",(Datos!L18-Datos!V18)/Datos!V18,(Datos!L18+Datos!AF18-(Datos!V18+Datos!AN18))/(Datos!V18+Datos!AN18))
     ),IF(Criterios!B14="SI",(Datos!L18-Datos!V18)/Datos!V18,(Datos!L18+Datos!AF18-(Datos!V18+Datos!AN18))/(Datos!V18+Datos!AN18))," - ")</f>
        <v>0.26433026433026435</v>
      </c>
      <c r="F18" s="856">
        <f>IF(ISNUMBER((Datos!M18-Datos!W18)/Datos!W18),(Datos!M18-Datos!W18)/Datos!W18," - ")</f>
        <v>0.12655601659751037</v>
      </c>
      <c r="G18" s="857">
        <f>IF(ISNUMBER((Datos!N18-Datos!X18)/Datos!X18),(Datos!N18-Datos!X18)/Datos!X18," - ")</f>
        <v>3.2333333333333332E-2</v>
      </c>
      <c r="H18" s="857">
        <f>IF(ISNUMBER(((NºAsuntos!G18/NºAsuntos!E18)-Datos!BD18)/Datos!BD18),((NºAsuntos!G18/NºAsuntos!E18)-Datos!BD18)/Datos!BD18," - ")</f>
        <v>2.3151701632874201E-3</v>
      </c>
      <c r="I18" s="857">
        <f>IF(ISNUMBER(((NºAsuntos!I18/NºAsuntos!G18)-Datos!BE18)/Datos!BE18),((NºAsuntos!I18/NºAsuntos!G18)-Datos!BE18)/Datos!BE18," - ")</f>
        <v>0.22154857863742541</v>
      </c>
      <c r="J18" s="857">
        <f>IF(ISNUMBER((('Resol  Asuntos'!D18/NºAsuntos!G18)-Datos!BF18)/Datos!BF18),(('Resol  Asuntos'!D18/NºAsuntos!G18)-Datos!BF18)/Datos!BF18," - ")</f>
        <v>8.843625724572321E-2</v>
      </c>
      <c r="K18" s="857">
        <f>IF(ISNUMBER((((NºAsuntos!C18+NºAsuntos!E18)/NºAsuntos!G18)-Datos!BG18)/Datos!BG18),(((NºAsuntos!C18+NºAsuntos!E18)/NºAsuntos!G18)-Datos!BG18)/Datos!BG18," - ")</f>
        <v>8.6561291260724121E-2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0.23881420199931058</v>
      </c>
      <c r="C19" s="802">
        <f>IF(ISNUMBER(
   IF(J_V="SI",(Datos!J19-Datos!T19)/Datos!T19,(Datos!J19+Datos!Z19-(Datos!T19+Datos!AH19))/(Datos!T19+Datos!AH19))
     ),IF(J_V="SI",(Datos!J19-Datos!T19)/Datos!T19,(Datos!J19+Datos!Z19-(Datos!T19+Datos!AH19))/(Datos!T19+Datos!AH19))," - ")</f>
        <v>0.11859154929577465</v>
      </c>
      <c r="D19" s="802">
        <f>IF(ISNUMBER(
   IF(J_V="SI",(Datos!K19-Datos!U19)/Datos!U19,(Datos!K19+Datos!AA19-(Datos!U19+Datos!AI19))/(Datos!U19+Datos!AI19))
     ),IF(J_V="SI",(Datos!K19-Datos!U19)/Datos!U19,(Datos!K19+Datos!AA19-(Datos!U19+Datos!AI19))/(Datos!U19+Datos!AI19))," - ")</f>
        <v>-1.6578896040569534E-3</v>
      </c>
      <c r="E19" s="802">
        <f>IF(ISNUMBER(
   IF(J_V="SI",(Datos!L19-Datos!V19)/Datos!V19,(Datos!L19+Datos!AB19-(Datos!V19+Datos!AJ19))/(Datos!V19+Datos!AJ19))
     ),IF(J_V="SI",(Datos!L19-Datos!V19)/Datos!V19,(Datos!L19+Datos!AB19-(Datos!V19+Datos!AJ19))/(Datos!V19+Datos!AJ19))," - ")</f>
        <v>0.29537389932974112</v>
      </c>
      <c r="F19" s="803">
        <f>IF(ISNUMBER((Datos!M19-Datos!W19)/Datos!W19),(Datos!M19-Datos!W19)/Datos!W19," - ")</f>
        <v>0.12541918175720992</v>
      </c>
      <c r="G19" s="804">
        <f>IF(ISNUMBER((Datos!N19-Datos!X19)/Datos!X19),(Datos!N19-Datos!X19)/Datos!X19," - ")</f>
        <v>-3.1704781704781707E-2</v>
      </c>
      <c r="H19" s="805">
        <f>IF(ISNUMBER((Tasas!B19-Datos!BD19)/Datos!BD19),(Tasas!B19-Datos!BD19)/Datos!BD19," - ")</f>
        <v>-0.10750075751558855</v>
      </c>
      <c r="I19" s="806">
        <f>IF(ISNUMBER((Tasas!C19-Datos!BE19)/Datos!BE19),(Tasas!C19-Datos!BE19)/Datos!BE19," - ")</f>
        <v>0.29752505262549228</v>
      </c>
      <c r="J19" s="807">
        <f>IF(ISNUMBER((Tasas!D19-Datos!BF19)/Datos!BF19),(Tasas!D19-Datos!BF19)/Datos!BF19," - ")</f>
        <v>-0.4886563557766721</v>
      </c>
      <c r="K19" s="807">
        <f>IF(ISNUMBER((Tasas!E19-Datos!BG19)/Datos!BG19),(Tasas!E19-Datos!BG19)/Datos!BG19," - ")</f>
        <v>0.18988762978122151</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tlAzt1VVd+xCgc5p3m719ZwBsr/RRRV1NHRr1kd51KLiULi/g5DIgXWK84UiRTHC530L60g/34mJxP6Yh4otA==" saltValue="SYEmn8RIgI651c9Oq+OMr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ALMERIA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0.72557138125207021</v>
      </c>
      <c r="C9" s="443">
        <f>IF(ISNUMBER(NºAsuntos!I9/NºAsuntos!G9),NºAsuntos!I9/NºAsuntos!G9," - ")</f>
        <v>3.262268888381648</v>
      </c>
      <c r="D9" s="444">
        <f>IF(ISNUMBER('Resol  Asuntos'!D9/NºAsuntos!G9),'Resol  Asuntos'!D9/NºAsuntos!G9," - ")</f>
        <v>0.20908468386213194</v>
      </c>
      <c r="E9" s="445">
        <f>IF(ISNUMBER((NºAsuntos!C9+NºAsuntos!E9)/NºAsuntos!G9),(NºAsuntos!C9+NºAsuntos!E9)/NºAsuntos!G9," - ")</f>
        <v>4.2611275964391693</v>
      </c>
      <c r="G9" s="463"/>
    </row>
    <row r="10" spans="1:7">
      <c r="A10" s="402" t="str">
        <f>Datos!A10</f>
        <v>Jdos. Violencia contra la mujer</v>
      </c>
      <c r="B10" s="442">
        <f>IF(ISNUMBER(NºAsuntos!G10/NºAsuntos!E10),NºAsuntos!G10/NºAsuntos!E10," - ")</f>
        <v>1.25</v>
      </c>
      <c r="C10" s="443">
        <f>IF(ISNUMBER(NºAsuntos!I10/NºAsuntos!G10),NºAsuntos!I10/NºAsuntos!G10," - ")</f>
        <v>3.3777777777777778</v>
      </c>
      <c r="D10" s="444">
        <f>IF(ISNUMBER('Resol  Asuntos'!D10/NºAsuntos!G10),'Resol  Asuntos'!D10/NºAsuntos!G10," - ")</f>
        <v>0.64444444444444449</v>
      </c>
      <c r="E10" s="445">
        <f>IF(ISNUMBER((NºAsuntos!C10+NºAsuntos!E10)/NºAsuntos!G10),(NºAsuntos!C10+NºAsuntos!E10)/NºAsuntos!G10," - ")</f>
        <v>4.3777777777777782</v>
      </c>
      <c r="G10" s="463"/>
    </row>
    <row r="11" spans="1:7">
      <c r="A11" s="402" t="str">
        <f>Datos!A11</f>
        <v xml:space="preserve">Jdos. Familia                                   </v>
      </c>
      <c r="B11" s="442">
        <f>IF(ISNUMBER(NºAsuntos!G11/NºAsuntos!E11),NºAsuntos!G11/NºAsuntos!E11," - ")</f>
        <v>1.0610997963340123</v>
      </c>
      <c r="C11" s="443">
        <f>IF(ISNUMBER(NºAsuntos!I11/NºAsuntos!G11),NºAsuntos!I11/NºAsuntos!G11," - ")</f>
        <v>1.9424184261036468</v>
      </c>
      <c r="D11" s="444">
        <f>IF(ISNUMBER('Resol  Asuntos'!D11/NºAsuntos!G11),'Resol  Asuntos'!D11/NºAsuntos!G11," - ")</f>
        <v>0.36468330134357008</v>
      </c>
      <c r="E11" s="445">
        <f>IF(ISNUMBER((NºAsuntos!C11+NºAsuntos!E11)/NºAsuntos!G11),(NºAsuntos!C11+NºAsuntos!E11)/NºAsuntos!G11," - ")</f>
        <v>2.9059500959692897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0.75354150799695352</v>
      </c>
      <c r="C13" s="859">
        <f>IF(ISNUMBER(NºAsuntos!I13/NºAsuntos!G13),NºAsuntos!I13/NºAsuntos!G13," - ")</f>
        <v>3.1243177683444512</v>
      </c>
      <c r="D13" s="860">
        <f>IF(ISNUMBER('Resol  Asuntos'!D13/NºAsuntos!G13),'Resol  Asuntos'!D13/NºAsuntos!G13," - ")</f>
        <v>0.22943197897715786</v>
      </c>
      <c r="E13" s="861">
        <f>IF(ISNUMBER((NºAsuntos!C13+NºAsuntos!E13)/NºAsuntos!G13),(NºAsuntos!C13+NºAsuntos!E13)/NºAsuntos!G13," - ")</f>
        <v>4.1194663432383258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0.99568256578947367</v>
      </c>
      <c r="C15" s="443">
        <f>IF(ISNUMBER(NºAsuntos!I15/NºAsuntos!G15),NºAsuntos!I15/NºAsuntos!G15," - ")</f>
        <v>0.75944662399339258</v>
      </c>
      <c r="D15" s="444">
        <f>IF(ISNUMBER('Resol  Asuntos'!D15/NºAsuntos!G15),'Resol  Asuntos'!D15/NºAsuntos!G15," - ")</f>
        <v>0.10262234152384886</v>
      </c>
      <c r="E15" s="445">
        <f>IF(ISNUMBER((NºAsuntos!C15+NºAsuntos!E15)/NºAsuntos!G15),(NºAsuntos!C15+NºAsuntos!E15)/NºAsuntos!G15," - ")</f>
        <v>1.7503613462729712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0.92355371900826444</v>
      </c>
      <c r="C17" s="443">
        <f>IF(ISNUMBER(NºAsuntos!I17/NºAsuntos!G17),NºAsuntos!I17/NºAsuntos!G17," - ")</f>
        <v>1.2953020134228188</v>
      </c>
      <c r="D17" s="444">
        <f>IF(ISNUMBER('Resol  Asuntos'!D17/NºAsuntos!G17),'Resol  Asuntos'!D17/NºAsuntos!G17," - ")</f>
        <v>0.1029082774049217</v>
      </c>
      <c r="E17" s="445">
        <f>IF(ISNUMBER((NºAsuntos!C17+NºAsuntos!E17)/NºAsuntos!G17),(NºAsuntos!C17+NºAsuntos!E17)/NºAsuntos!G17," - ")</f>
        <v>2.2953020134228188</v>
      </c>
      <c r="G17" s="463"/>
    </row>
    <row r="18" spans="1:7" ht="14.25" thickTop="1" thickBot="1">
      <c r="A18" s="848" t="str">
        <f>Datos!A18</f>
        <v>TOTAL</v>
      </c>
      <c r="B18" s="858">
        <f>IF(ISNUMBER(NºAsuntos!G18/NºAsuntos!E18),NºAsuntos!G18/NºAsuntos!E18," - ")</f>
        <v>0.98915482423335821</v>
      </c>
      <c r="C18" s="859">
        <f>IF(ISNUMBER(NºAsuntos!I18/NºAsuntos!G18),NºAsuntos!I18/NºAsuntos!G18," - ")</f>
        <v>0.80472589792060489</v>
      </c>
      <c r="D18" s="862">
        <f>IF(ISNUMBER('Resol  Asuntos'!D18/NºAsuntos!G18),'Resol  Asuntos'!D18/NºAsuntos!G18," - ")</f>
        <v>0.10264650283553875</v>
      </c>
      <c r="E18" s="861">
        <f>IF(ISNUMBER((NºAsuntos!C18+NºAsuntos!E18)/NºAsuntos!G18),(NºAsuntos!C18+NºAsuntos!E18)/NºAsuntos!G18," - ")</f>
        <v>1.7964083175803403</v>
      </c>
      <c r="G18" s="463"/>
    </row>
    <row r="19" spans="1:7" ht="15.75" customHeight="1" thickTop="1" thickBot="1">
      <c r="A19" s="793" t="str">
        <f>Datos!A19</f>
        <v>TOTAL JURISDICCIONES</v>
      </c>
      <c r="B19" s="808">
        <f>IF(ISNUMBER(NºAsuntos!G19/NºAsuntos!E19),NºAsuntos!G19/NºAsuntos!E19," - ")</f>
        <v>0.85931335515823049</v>
      </c>
      <c r="C19" s="809">
        <f>IF(ISNUMBER(NºAsuntos!I19/NºAsuntos!G19),NºAsuntos!I19/NºAsuntos!G19," - ")</f>
        <v>1.9256618149848588</v>
      </c>
      <c r="D19" s="810">
        <f>IF(ISNUMBER('Resol  Asuntos'!D19/NºAsuntos!G19),'Resol  Asuntos'!D19/NºAsuntos!G19," - ")</f>
        <v>0.16391520953404318</v>
      </c>
      <c r="E19" s="811">
        <f>IF(ISNUMBER((NºAsuntos!C19+NºAsuntos!E19)/NºAsuntos!G19),(NºAsuntos!C19+NºAsuntos!E19)/NºAsuntos!G19," - ")</f>
        <v>2.9190192439191169</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JLi4fDO6vp7AIQ0Z+Nu/o+kiZjzioACq5+u34pJfkwGB4uOVFKhfYH2totW9ZkYMpi5q6L4nFPsH2sZJvl5vw==" saltValue="x/w1Lu8VwXykjJ0j9+4x0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ALMERIA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v>
      </c>
      <c r="B9" s="177" t="s">
        <v>246</v>
      </c>
      <c r="C9" s="160" t="str">
        <f>Datos!A9</f>
        <v xml:space="preserve">Jdos. 1ª Instancia   </v>
      </c>
      <c r="D9" s="160"/>
      <c r="E9" s="1025">
        <f>IF(ISNUMBER(Datos!AQ9),Datos!AQ9," - ")</f>
        <v>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926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634</v>
      </c>
      <c r="Y9" s="334">
        <f>SUM(W9:X9)</f>
        <v>634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16585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916</v>
      </c>
      <c r="AJ9" s="229" t="str">
        <f>IF(ISNUMBER(Datos!BW9),Datos!BW9," - ")</f>
        <v xml:space="preserve"> - </v>
      </c>
      <c r="AK9" s="228" t="str">
        <f>IF(ISNUMBER(Datos!BX9),Datos!BX9," - ")</f>
        <v xml:space="preserve"> - </v>
      </c>
      <c r="AL9" s="243">
        <f>IF(ISNUMBER(NºAsuntos!G9/NºAsuntos!E9),NºAsuntos!G9/NºAsuntos!E9," - ")</f>
        <v>0.72557138125207021</v>
      </c>
      <c r="AM9" s="260">
        <f>IF(ISNUMBER(((NºAsuntos!I9/NºAsuntos!G9)*11)/factor_trimestre),((NºAsuntos!I9/NºAsuntos!G9)*11)/factor_trimestre," - ")</f>
        <v>9.7868066651449439</v>
      </c>
      <c r="AN9" s="244">
        <f>IF(ISNUMBER('Resol  Asuntos'!D9/NºAsuntos!G9),'Resol  Asuntos'!D9/NºAsuntos!G9," - ")</f>
        <v>0.20908468386213194</v>
      </c>
      <c r="AO9" s="245">
        <f>IF(ISNUMBER((NºAsuntos!C9+NºAsuntos!E9)/NºAsuntos!G9),(NºAsuntos!C9+NºAsuntos!E9)/NºAsuntos!G9," - ")</f>
        <v>4.2611275964391693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161</v>
      </c>
      <c r="G10" s="333">
        <f>IF(ISNUMBER(Datos!I10),Datos!I10," - ")</f>
        <v>161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45</v>
      </c>
      <c r="X10" s="226">
        <f>IF(ISNUMBER(Datos!Q10),Datos!Q10," - ")</f>
        <v>16</v>
      </c>
      <c r="Y10" s="334">
        <f t="shared" ref="Y10:Y12" si="0">SUM(W10:X10)</f>
        <v>61</v>
      </c>
      <c r="Z10" s="335" t="str">
        <f>IF(ISNUMBER(Datos!CC10),Datos!CC10," - ")</f>
        <v xml:space="preserve"> - </v>
      </c>
      <c r="AA10" s="332">
        <f>IF(ISNUMBER(Datos!L10),Datos!L10,"-")</f>
        <v>152</v>
      </c>
      <c r="AB10" s="334">
        <f>IF(ISNUMBER(Datos!R10),Datos!R10," - ")</f>
        <v>60</v>
      </c>
      <c r="AC10" s="334">
        <f t="shared" ref="AC10:AC12" si="1">IF(ISNUMBER(AA10+AB10),AA10+AB10," - ")</f>
        <v>212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29</v>
      </c>
      <c r="AJ10" s="231" t="str">
        <f>IF(ISNUMBER(Datos!BW10),Datos!BW10," - ")</f>
        <v xml:space="preserve"> - </v>
      </c>
      <c r="AK10" s="232" t="str">
        <f>IF(ISNUMBER(Datos!BX10),Datos!BX10," - ")</f>
        <v xml:space="preserve"> - </v>
      </c>
      <c r="AL10" s="243">
        <f>IF(ISNUMBER(NºAsuntos!G10/NºAsuntos!E10),NºAsuntos!G10/NºAsuntos!E10," - ")</f>
        <v>1.25</v>
      </c>
      <c r="AM10" s="260">
        <f>IF(ISNUMBER(((NºAsuntos!I10/NºAsuntos!G10)*11)/factor_trimestre),((NºAsuntos!I10/NºAsuntos!G10)*11)/factor_trimestre," - ")</f>
        <v>10.133333333333335</v>
      </c>
      <c r="AN10" s="244">
        <f>IF(ISNUMBER('Resol  Asuntos'!D10/NºAsuntos!G10),'Resol  Asuntos'!D10/NºAsuntos!G10," - ")</f>
        <v>0.64444444444444449</v>
      </c>
      <c r="AO10" s="245">
        <f>IF(ISNUMBER((NºAsuntos!C10+NºAsuntos!E10)/NºAsuntos!G10),(NºAsuntos!C10+NºAsuntos!E10)/NºAsuntos!G10," - ")</f>
        <v>4.3777777777777782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46</v>
      </c>
      <c r="Y11" s="334">
        <f t="shared" si="0"/>
        <v>46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660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190</v>
      </c>
      <c r="AJ11" s="231" t="str">
        <f>IF(ISNUMBER(Datos!BW11),Datos!BW11," - ")</f>
        <v xml:space="preserve"> - </v>
      </c>
      <c r="AK11" s="232" t="str">
        <f>IF(ISNUMBER(Datos!BX11),Datos!BX11," - ")</f>
        <v xml:space="preserve"> - </v>
      </c>
      <c r="AL11" s="243">
        <f>IF(ISNUMBER(NºAsuntos!G11/NºAsuntos!E11),NºAsuntos!G11/NºAsuntos!E11," - ")</f>
        <v>1.0610997963340123</v>
      </c>
      <c r="AM11" s="260">
        <f>IF(ISNUMBER(((NºAsuntos!I11/NºAsuntos!G11)*11)/factor_trimestre),((NºAsuntos!I11/NºAsuntos!G11)*11)/factor_trimestre," - ")</f>
        <v>5.8272552783109406</v>
      </c>
      <c r="AN11" s="244">
        <f>IF(ISNUMBER('Resol  Asuntos'!D11/NºAsuntos!G11),'Resol  Asuntos'!D11/NºAsuntos!G11," - ")</f>
        <v>0.36468330134357008</v>
      </c>
      <c r="AO11" s="245">
        <f>IF(ISNUMBER((NºAsuntos!C11+NºAsuntos!E11)/NºAsuntos!G11),(NºAsuntos!C11+NºAsuntos!E11)/NºAsuntos!G11," - ")</f>
        <v>2.9059500959692897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12</v>
      </c>
      <c r="F13" s="865">
        <f t="shared" si="3"/>
        <v>161</v>
      </c>
      <c r="G13" s="866">
        <f t="shared" si="3"/>
        <v>161</v>
      </c>
      <c r="H13" s="865">
        <f t="shared" si="3"/>
        <v>0</v>
      </c>
      <c r="I13" s="867">
        <f t="shared" si="3"/>
        <v>0</v>
      </c>
      <c r="J13" s="867">
        <f t="shared" si="3"/>
        <v>0</v>
      </c>
      <c r="K13" s="867">
        <f t="shared" si="3"/>
        <v>0</v>
      </c>
      <c r="L13" s="867">
        <f t="shared" si="3"/>
        <v>1004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45</v>
      </c>
      <c r="X13" s="867">
        <f t="shared" si="4"/>
        <v>696</v>
      </c>
      <c r="Y13" s="868">
        <f t="shared" si="4"/>
        <v>741</v>
      </c>
      <c r="Z13" s="868">
        <f t="shared" si="4"/>
        <v>0</v>
      </c>
      <c r="AA13" s="868">
        <f t="shared" si="4"/>
        <v>152</v>
      </c>
      <c r="AB13" s="868">
        <f t="shared" si="4"/>
        <v>17305</v>
      </c>
      <c r="AC13" s="868">
        <f t="shared" si="4"/>
        <v>212</v>
      </c>
      <c r="AD13" s="868">
        <f t="shared" si="4"/>
        <v>0</v>
      </c>
      <c r="AE13" s="872">
        <f t="shared" si="4"/>
        <v>0</v>
      </c>
      <c r="AF13" s="865">
        <f t="shared" si="4"/>
        <v>0</v>
      </c>
      <c r="AG13" s="873">
        <f t="shared" si="4"/>
        <v>0</v>
      </c>
      <c r="AH13" s="870">
        <f t="shared" si="4"/>
        <v>0</v>
      </c>
      <c r="AI13" s="865">
        <f t="shared" si="4"/>
        <v>1135</v>
      </c>
      <c r="AJ13" s="867">
        <f t="shared" si="4"/>
        <v>0</v>
      </c>
      <c r="AK13" s="870">
        <f>SUBTOTAL(9,AK9:AK12)</f>
        <v>0</v>
      </c>
      <c r="AL13" s="874">
        <f>IF(ISNUMBER(NºAsuntos!G13/NºAsuntos!E13),NºAsuntos!G13/NºAsuntos!E13," - ")</f>
        <v>0.75354150799695352</v>
      </c>
      <c r="AM13" s="874">
        <f>IF(ISNUMBER(((NºAsuntos!I13/NºAsuntos!G13)*11)/factor_trimestre),((NºAsuntos!I13/NºAsuntos!G13)*11)/factor_trimestre," - ")</f>
        <v>9.372953305033354</v>
      </c>
      <c r="AN13" s="875">
        <f>IF(ISNUMBER('Resol  Asuntos'!D13/NºAsuntos!G13),'Resol  Asuntos'!D13/NºAsuntos!G13," - ")</f>
        <v>0.22943197897715786</v>
      </c>
      <c r="AO13" s="876">
        <f>IF(ISNUMBER((NºAsuntos!C13+NºAsuntos!E13)/NºAsuntos!G13),(NºAsuntos!C13+NºAsuntos!E13)/NºAsuntos!G13," - ")</f>
        <v>4.1194663432383258</v>
      </c>
      <c r="AP13" s="877" t="str">
        <f t="shared" si="2"/>
        <v xml:space="preserve"> - </v>
      </c>
      <c r="AQ13" s="877">
        <f>IF(ISNUMBER((H13-W13+K13)/(F13)),(H13-W13+K13)/(F13)," - ")</f>
        <v>-0.27950310559006208</v>
      </c>
      <c r="AR13" s="878">
        <f>IF(ISNUMBER((Datos!P13-Datos!Q13)/(Datos!R13-Datos!P13+Datos!Q13)),(Datos!P13-Datos!Q13)/(Datos!R13-Datos!P13+Datos!Q13)," - ")</f>
        <v>1.8120844854974408E-2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3657</v>
      </c>
      <c r="G15" s="333">
        <f>IF(ISNUMBER(IF(D_I="SI",Datos!I15,Datos!I15+Datos!AC15)),IF(D_I="SI",Datos!I15,Datos!I15+Datos!AC15)," - ")</f>
        <v>3613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132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4843</v>
      </c>
      <c r="X15" s="226">
        <f>IF(ISNUMBER(Datos!Q15),Datos!Q15," - ")</f>
        <v>201</v>
      </c>
      <c r="Y15" s="334">
        <f>SUM(W15)</f>
        <v>4843</v>
      </c>
      <c r="Z15" s="335" t="str">
        <f>IF(ISNUMBER(Datos!CC15),Datos!CC15," - ")</f>
        <v xml:space="preserve"> - </v>
      </c>
      <c r="AA15" s="332">
        <f>IF(ISNUMBER(IF(D_I="SI",Datos!L15,Datos!L15+Datos!AF15)),IF(D_I="SI",Datos!L15,Datos!L15+Datos!AF15)," - ")</f>
        <v>3678</v>
      </c>
      <c r="AB15" s="334">
        <f>IF(ISNUMBER(Datos!R15),Datos!R15," - ")</f>
        <v>313</v>
      </c>
      <c r="AC15" s="334">
        <f t="shared" ref="AC15:AC17" si="6">IF(ISNUMBER(AA15+AB15),AA15+AB15," - ")</f>
        <v>3991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497</v>
      </c>
      <c r="AJ15" s="231" t="str">
        <f>IF(ISNUMBER(Datos!BW15),Datos!BW15," - ")</f>
        <v xml:space="preserve"> - </v>
      </c>
      <c r="AK15" s="232" t="str">
        <f>IF(ISNUMBER(Datos!BX15),Datos!BX15," - ")</f>
        <v xml:space="preserve"> - </v>
      </c>
      <c r="AL15" s="243">
        <f>IF(ISNUMBER(NºAsuntos!G15/NºAsuntos!E15),NºAsuntos!G15/NºAsuntos!E15," - ")</f>
        <v>0.99568256578947367</v>
      </c>
      <c r="AM15" s="260">
        <f>IF(ISNUMBER(((NºAsuntos!I15/NºAsuntos!G15)*11)/factor_trimestre),((NºAsuntos!I15/NºAsuntos!G15)*11)/factor_trimestre," - ")</f>
        <v>2.2783398719801777</v>
      </c>
      <c r="AN15" s="244">
        <f>IF(ISNUMBER('Resol  Asuntos'!D15/NºAsuntos!G15),'Resol  Asuntos'!D15/NºAsuntos!G15," - ")</f>
        <v>0.10262234152384886</v>
      </c>
      <c r="AO15" s="245">
        <f>IF(ISNUMBER((NºAsuntos!C15+NºAsuntos!E15)/NºAsuntos!G15),(NºAsuntos!C15+NºAsuntos!E15)/NºAsuntos!G15," - ")</f>
        <v>1.7503613462729712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542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447</v>
      </c>
      <c r="X17" s="226">
        <f>IF(ISNUMBER(Datos!Q17),Datos!Q17," - ")</f>
        <v>6</v>
      </c>
      <c r="Y17" s="334">
        <f t="shared" si="7"/>
        <v>453</v>
      </c>
      <c r="Z17" s="335" t="str">
        <f>IF(ISNUMBER(Datos!CC17),Datos!CC17," - ")</f>
        <v xml:space="preserve"> - </v>
      </c>
      <c r="AA17" s="332">
        <f>IF(ISNUMBER(Datos!L17),Datos!L17,"-")</f>
        <v>579</v>
      </c>
      <c r="AB17" s="334">
        <f>IF(ISNUMBER(Datos!R17),Datos!R17," - ")</f>
        <v>12</v>
      </c>
      <c r="AC17" s="334">
        <f t="shared" si="6"/>
        <v>591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46</v>
      </c>
      <c r="AJ17" s="231" t="str">
        <f>IF(ISNUMBER(Datos!BW17),Datos!BW17," - ")</f>
        <v xml:space="preserve"> - </v>
      </c>
      <c r="AK17" s="232" t="str">
        <f>IF(ISNUMBER(Datos!BX17),Datos!BX17," - ")</f>
        <v xml:space="preserve"> - </v>
      </c>
      <c r="AL17" s="243">
        <f>IF(ISNUMBER(NºAsuntos!G17/NºAsuntos!E17),NºAsuntos!G17/NºAsuntos!E17," - ")</f>
        <v>0.92355371900826444</v>
      </c>
      <c r="AM17" s="260">
        <f>IF(ISNUMBER(((NºAsuntos!I17/NºAsuntos!G17)*11)/factor_trimestre),((NºAsuntos!I17/NºAsuntos!G17)*11)/factor_trimestre," - ")</f>
        <v>3.8859060402684564</v>
      </c>
      <c r="AN17" s="244">
        <f>IF(ISNUMBER('Resol  Asuntos'!D17/NºAsuntos!G17),'Resol  Asuntos'!D17/NºAsuntos!G17," - ")</f>
        <v>0.1029082774049217</v>
      </c>
      <c r="AO17" s="245">
        <f>IF(ISNUMBER((NºAsuntos!C17+NºAsuntos!E17)/NºAsuntos!G17),(NºAsuntos!C17+NºAsuntos!E17)/NºAsuntos!G17," - ")</f>
        <v>2.2953020134228188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3657</v>
      </c>
      <c r="G18" s="866">
        <f>SUBTOTAL(9,G15:G17)</f>
        <v>4155</v>
      </c>
      <c r="H18" s="865">
        <f t="shared" ref="H18:O18" si="10">SUBTOTAL(9,H14:H17)</f>
        <v>0</v>
      </c>
      <c r="I18" s="867">
        <f t="shared" si="10"/>
        <v>0</v>
      </c>
      <c r="J18" s="867">
        <f t="shared" si="10"/>
        <v>0</v>
      </c>
      <c r="K18" s="867">
        <f t="shared" si="10"/>
        <v>0</v>
      </c>
      <c r="L18" s="867">
        <f t="shared" si="10"/>
        <v>137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5290</v>
      </c>
      <c r="X18" s="867">
        <f t="shared" si="11"/>
        <v>207</v>
      </c>
      <c r="Y18" s="868">
        <f t="shared" si="11"/>
        <v>5296</v>
      </c>
      <c r="Z18" s="868">
        <f t="shared" si="11"/>
        <v>0</v>
      </c>
      <c r="AA18" s="868">
        <f t="shared" si="11"/>
        <v>4257</v>
      </c>
      <c r="AB18" s="868">
        <f t="shared" si="11"/>
        <v>325</v>
      </c>
      <c r="AC18" s="868">
        <f t="shared" si="11"/>
        <v>4582</v>
      </c>
      <c r="AD18" s="868">
        <f t="shared" si="11"/>
        <v>0</v>
      </c>
      <c r="AE18" s="872">
        <f t="shared" si="11"/>
        <v>0</v>
      </c>
      <c r="AF18" s="865">
        <f t="shared" si="11"/>
        <v>0</v>
      </c>
      <c r="AG18" s="873">
        <f t="shared" si="11"/>
        <v>0</v>
      </c>
      <c r="AH18" s="870">
        <f t="shared" si="11"/>
        <v>0</v>
      </c>
      <c r="AI18" s="865">
        <f t="shared" si="11"/>
        <v>543</v>
      </c>
      <c r="AJ18" s="867">
        <f t="shared" si="11"/>
        <v>0</v>
      </c>
      <c r="AK18" s="870">
        <f t="shared" si="11"/>
        <v>0</v>
      </c>
      <c r="AL18" s="874">
        <f>IF(ISNUMBER(NºAsuntos!G18/NºAsuntos!E18),NºAsuntos!G18/NºAsuntos!E18," - ")</f>
        <v>0.98915482423335821</v>
      </c>
      <c r="AM18" s="874">
        <f>IF(ISNUMBER(((NºAsuntos!I18/NºAsuntos!G18)*11)/factor_trimestre),((NºAsuntos!I18/NºAsuntos!G18)*11)/factor_trimestre," - ")</f>
        <v>2.4141776937618147</v>
      </c>
      <c r="AN18" s="875">
        <f>IF(ISNUMBER('Resol  Asuntos'!D18/NºAsuntos!G18),'Resol  Asuntos'!D18/NºAsuntos!G18," - ")</f>
        <v>0.10264650283553875</v>
      </c>
      <c r="AO18" s="876">
        <f>IF(ISNUMBER((NºAsuntos!C18+NºAsuntos!E18)/NºAsuntos!G18),(NºAsuntos!C18+NºAsuntos!E18)/NºAsuntos!G18," - ")</f>
        <v>1.7964083175803403</v>
      </c>
      <c r="AP18" s="877" t="str">
        <f t="shared" si="2"/>
        <v xml:space="preserve"> - </v>
      </c>
      <c r="AQ18" s="877">
        <f>IF(ISNUMBER((H18-W18+K18)/(F18)),(H18-W18+K18)/(F18)," - ")</f>
        <v>-1.4465408805031446</v>
      </c>
      <c r="AR18" s="878">
        <f>IF(ISNUMBER((Datos!P18-Datos!Q18)/(Datos!R18-Datos!P18+Datos!Q18)),(Datos!P18-Datos!Q18)/(Datos!R18-Datos!P18+Datos!Q18)," - ")</f>
        <v>-0.17721518987341772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19</v>
      </c>
      <c r="F19" s="820">
        <f t="shared" si="13"/>
        <v>3818</v>
      </c>
      <c r="G19" s="821">
        <f t="shared" si="13"/>
        <v>4316</v>
      </c>
      <c r="H19" s="820">
        <f t="shared" si="13"/>
        <v>0</v>
      </c>
      <c r="I19" s="822">
        <f t="shared" si="13"/>
        <v>0</v>
      </c>
      <c r="J19" s="822">
        <f t="shared" si="13"/>
        <v>0</v>
      </c>
      <c r="K19" s="881">
        <f t="shared" si="13"/>
        <v>0</v>
      </c>
      <c r="L19" s="822">
        <f t="shared" si="13"/>
        <v>1141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5335</v>
      </c>
      <c r="X19" s="821">
        <f t="shared" si="14"/>
        <v>903</v>
      </c>
      <c r="Y19" s="828">
        <f t="shared" si="14"/>
        <v>6037</v>
      </c>
      <c r="Z19" s="828">
        <f t="shared" si="14"/>
        <v>0</v>
      </c>
      <c r="AA19" s="828">
        <f t="shared" si="14"/>
        <v>4409</v>
      </c>
      <c r="AB19" s="828">
        <f t="shared" si="14"/>
        <v>17630</v>
      </c>
      <c r="AC19" s="828">
        <f t="shared" si="14"/>
        <v>4794</v>
      </c>
      <c r="AD19" s="828">
        <f t="shared" si="14"/>
        <v>0</v>
      </c>
      <c r="AE19" s="830">
        <f t="shared" si="14"/>
        <v>0</v>
      </c>
      <c r="AF19" s="831">
        <f t="shared" si="14"/>
        <v>0</v>
      </c>
      <c r="AG19" s="832">
        <f t="shared" si="14"/>
        <v>0</v>
      </c>
      <c r="AH19" s="830">
        <f t="shared" si="14"/>
        <v>0</v>
      </c>
      <c r="AI19" s="820">
        <f t="shared" si="14"/>
        <v>1678</v>
      </c>
      <c r="AJ19" s="820">
        <f t="shared" si="14"/>
        <v>0</v>
      </c>
      <c r="AK19" s="830">
        <f t="shared" si="14"/>
        <v>0</v>
      </c>
      <c r="AL19" s="884">
        <f>IF(ISNUMBER(NºAsuntos!G19/NºAsuntos!E19),NºAsuntos!G19/NºAsuntos!E19," - ")</f>
        <v>0.85931335515823049</v>
      </c>
      <c r="AM19" s="885">
        <f>IF(ISNUMBER(((NºAsuntos!I19/NºAsuntos!G19)*11)/factor_trimestre),((NºAsuntos!I19/NºAsuntos!G19)*11)/factor_trimestre," - ")</f>
        <v>5.776985444954577</v>
      </c>
      <c r="AN19" s="885">
        <f>IF(ISNUMBER('Resol  Asuntos'!D19/NºAsuntos!G19),'Resol  Asuntos'!D19/NºAsuntos!G19," - ")</f>
        <v>0.16391520953404318</v>
      </c>
      <c r="AO19" s="886">
        <f>IF(ISNUMBER((NºAsuntos!C19+NºAsuntos!E19)/NºAsuntos!G19),(NºAsuntos!C19+NºAsuntos!E19)/NºAsuntos!G19," - ")</f>
        <v>2.9190192439191169</v>
      </c>
      <c r="AP19" s="887" t="str">
        <f t="shared" si="2"/>
        <v xml:space="preserve"> - </v>
      </c>
      <c r="AQ19" s="888">
        <f>IF(OR(ISNUMBER(FIND("01",Criterios!A8,1)),ISNUMBER(FIND("02",Criterios!A8,1)),ISNUMBER(FIND("03",Criterios!A8,1)),ISNUMBER(FIND("04",Criterios!A8,1))),(I19-W19+K19)/(F19-K19),(H19-W19+K19)/(F19-K19))</f>
        <v>-1.3973284442116292</v>
      </c>
      <c r="AR19" s="889">
        <f>IF(ISNUMBER((Datos!P19-Datos!Q19)/(Datos!R19-Datos!P19+Datos!Q19)),(Datos!P19-Datos!Q19)/(Datos!R19-Datos!P19+Datos!Q19)," - ")</f>
        <v>1.3684452621895124E-2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1726.4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4.4095855184409842</v>
      </c>
      <c r="F21" s="252">
        <f>IF(ISNUMBER(STDEV(F8:F18)),STDEV(F8:F18),"-")</f>
        <v>2018.4165410869316</v>
      </c>
      <c r="G21" s="253">
        <f>IF(ISNUMBER(STDEV(G8:G18)),STDEV(G8:G18),"-")</f>
        <v>1985.0135515910213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2686.6721050399879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428.02525515163126</v>
      </c>
      <c r="AJ21" s="252">
        <f t="shared" si="18"/>
        <v>0</v>
      </c>
      <c r="AK21" s="254">
        <f t="shared" si="18"/>
        <v>0</v>
      </c>
      <c r="AL21" s="249">
        <f t="shared" si="18"/>
        <v>0.18041121364108392</v>
      </c>
      <c r="AM21" s="250">
        <f t="shared" si="18"/>
        <v>3.5023090454515584</v>
      </c>
      <c r="AN21" s="250">
        <f t="shared" si="18"/>
        <v>0.19828436931364457</v>
      </c>
      <c r="AO21" s="251">
        <f t="shared" si="18"/>
        <v>1.1705383499081465</v>
      </c>
      <c r="AP21" s="291" t="str">
        <f t="shared" si="18"/>
        <v>-</v>
      </c>
      <c r="AQ21" s="292">
        <f t="shared" si="18"/>
        <v>0.82522032454190031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vjS2XTcqAz0n2f85D0chTJXWzeasEXyyosW7i16rk8LEQ3Ku6ejB0tnjCLMZSZLHokhi3SmNPREPZE93xN+0hg==" saltValue="Rd8wOj89HoMEsizQ1xHBx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ALMERIA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0.19426336375488917</v>
      </c>
      <c r="I9" s="350">
        <f>IF(ISNUMBER((Tasas!C9-Datos!BE9)/Datos!BE9),(Tasas!C9-Datos!BE9)/Datos!BE9," - ")</f>
        <v>0.4303481848953733</v>
      </c>
      <c r="J9" s="349">
        <f>IF(ISNUMBER((Tasas!D9-Datos!BF9)/Datos!BF9),(Tasas!D9-Datos!BF9)/Datos!BF9," - ")</f>
        <v>-0.62293908666785736</v>
      </c>
      <c r="K9" s="351">
        <f>IF(ISNUMBER((Tasas!E9-Datos!BG9)/Datos!BG9),(Tasas!E9-Datos!BG9)/Datos!BG9," - ")</f>
        <v>0.32431459285000874</v>
      </c>
      <c r="M9" t="e">
        <f>IF(Monitorios="SI",Datos!CE9,0)</f>
        <v>#REF!</v>
      </c>
      <c r="N9" t="e">
        <f>IF(Monitorios="SI",Datos!CF9,0)</f>
        <v>#REF!</v>
      </c>
      <c r="O9" t="e">
        <f>IF(Monitorios="SI",Datos!CG9,0)</f>
        <v>#REF!</v>
      </c>
      <c r="P9" t="e">
        <f>IF(Monitorios="SI",Datos!CH9,0)</f>
        <v>#REF!</v>
      </c>
      <c r="Q9">
        <f>IF(J_V="SI",0,Datos!AG9)</f>
        <v>230</v>
      </c>
      <c r="R9">
        <f>IF(J_V="SI",0,Datos!AH9)</f>
        <v>407</v>
      </c>
      <c r="S9">
        <f>IF(J_V="SI",0,Datos!AI9)</f>
        <v>430</v>
      </c>
      <c r="T9">
        <f>IF(J_V="SI",0,Datos!AJ9)</f>
        <v>175</v>
      </c>
    </row>
    <row r="10" spans="2:20" ht="14.25">
      <c r="B10" s="275" t="s">
        <v>246</v>
      </c>
      <c r="C10" s="7" t="str">
        <f>Datos!A10</f>
        <v>Jdos. Violencia contra la mujer</v>
      </c>
      <c r="D10" s="352">
        <f>IF(ISNUMBER((Datos!I10-Datos!S10)/Datos!S10),(Datos!I10-Datos!S10)/Datos!S10," - ")</f>
        <v>-0.22596153846153846</v>
      </c>
      <c r="E10" s="348">
        <f>IF(ISNUMBER((Datos!J10-Datos!T10)/Datos!T10),(Datos!J10-Datos!T10)/Datos!T10," - ")</f>
        <v>-0.30769230769230771</v>
      </c>
      <c r="F10" s="348">
        <f>IF(ISNUMBER((Datos!K10-Datos!U10)/Datos!U10),(Datos!K10-Datos!U10)/Datos!U10," - ")</f>
        <v>-0.2857142857142857</v>
      </c>
      <c r="G10" s="349">
        <f>IF(ISNUMBER((Datos!L10-Datos!V10)/Datos!V10),(Datos!L10-Datos!V10)/Datos!V10," - ")</f>
        <v>-0.22842639593908629</v>
      </c>
      <c r="H10" s="230">
        <f>IF(ISNUMBER((Datos!M10-Datos!W10)/Datos!W10),(Datos!M10-Datos!W10)/Datos!W10," - ")</f>
        <v>-0.39583333333333331</v>
      </c>
      <c r="I10" s="350">
        <f>IF(ISNUMBER((Tasas!C10-Datos!BE10)/Datos!BE10),(Tasas!C10-Datos!BE10)/Datos!BE10," - ")</f>
        <v>8.0203045685279181E-2</v>
      </c>
      <c r="J10" s="349">
        <f>IF(ISNUMBER((Tasas!D10-Datos!BF10)/Datos!BF10),(Tasas!D10-Datos!BF10)/Datos!BF10," - ")</f>
        <v>-0.15416666666666656</v>
      </c>
      <c r="K10" s="351">
        <f>IF(ISNUMBER((Tasas!E10-Datos!BG10)/Datos!BG10),(Tasas!E10-Datos!BG10)/Datos!BG10," - ")</f>
        <v>6.0769230769230763E-2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-2.0618556701030927E-2</v>
      </c>
      <c r="I11" s="350">
        <f>IF(ISNUMBER((Tasas!C11-Datos!BE11)/Datos!BE11),(Tasas!C11-Datos!BE11)/Datos!BE11," - ")</f>
        <v>-0.19585475857602108</v>
      </c>
      <c r="J11" s="349">
        <f>IF(ISNUMBER((Tasas!D11-Datos!BF11)/Datos!BF11),(Tasas!D11-Datos!BF11)/Datos!BF11," - ")</f>
        <v>-0.162394061297645</v>
      </c>
      <c r="K11" s="351">
        <f>IF(ISNUMBER((Tasas!E11-Datos!BG11)/Datos!BG11),(Tasas!E11-Datos!BG11)/Datos!BG11," - ")</f>
        <v>-0.14918923267022541</v>
      </c>
      <c r="M11" t="e">
        <f>IF(Monitorios="SI",Datos!CE11,0)</f>
        <v>#REF!</v>
      </c>
      <c r="N11" t="e">
        <f>IF(Monitorios="SI",Datos!CF11,0)</f>
        <v>#REF!</v>
      </c>
      <c r="O11" t="e">
        <f>IF(Monitorios="SI",Datos!CG11,0)</f>
        <v>#REF!</v>
      </c>
      <c r="P11" t="e">
        <f>IF(Monitorios="SI",Datos!CH11,0)</f>
        <v>#REF!</v>
      </c>
      <c r="Q11">
        <f>IF(J_V="SI",0,Datos!AG11)</f>
        <v>142</v>
      </c>
      <c r="R11">
        <f>IF(J_V="SI",0,Datos!AH11)</f>
        <v>79</v>
      </c>
      <c r="S11">
        <f>IF(J_V="SI",0,Datos!AI11)</f>
        <v>83</v>
      </c>
      <c r="T11">
        <f>IF(J_V="SI",0,Datos!AJ11)</f>
        <v>138</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0.12487611496531219</v>
      </c>
      <c r="I13" s="357">
        <f>IF(ISNUMBER((Tasas!C13-Datos!BE13)/Datos!BE13),(Tasas!C13-Datos!BE13)/Datos!BE13," - ")</f>
        <v>0.35586585795253667</v>
      </c>
      <c r="J13" s="355">
        <f>IF(ISNUMBER((Tasas!D13-Datos!BF13)/Datos!BF13),(Tasas!D13-Datos!BF13)/Datos!BF13," - ")</f>
        <v>-0.57933380824259439</v>
      </c>
      <c r="K13" s="358">
        <f>IF(ISNUMBER((Tasas!E13-Datos!BG13)/Datos!BG13),(Tasas!E13-Datos!BG13)/Datos!BG13," - ")</f>
        <v>0.26826790800806405</v>
      </c>
      <c r="M13" t="e">
        <f>IF(Monitorios="SI",Datos!CE13,0)</f>
        <v>#REF!</v>
      </c>
      <c r="N13" t="e">
        <f>IF(Monitorios="SI",Datos!CF13,0)</f>
        <v>#REF!</v>
      </c>
      <c r="O13" t="e">
        <f>IF(Monitorios="SI",Datos!CG13,0)</f>
        <v>#REF!</v>
      </c>
      <c r="P13" t="e">
        <f>IF(Monitorios="SI",Datos!CH13,0)</f>
        <v>#REF!</v>
      </c>
      <c r="Q13">
        <f>IF(J_V="SI",0,Datos!AG13)</f>
        <v>372</v>
      </c>
      <c r="R13">
        <f>IF(J_V="SI",0,Datos!AH13)</f>
        <v>486</v>
      </c>
      <c r="S13">
        <f>IF(J_V="SI",0,Datos!AI13)</f>
        <v>513</v>
      </c>
      <c r="T13">
        <f>IF(J_V="SI",0,Datos!AJ13)</f>
        <v>313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0.31717098067808969</v>
      </c>
      <c r="E15" s="348">
        <f>IF(ISNUMBER(
   IF(D_I="SI",(Datos!J15-Datos!T15)/Datos!T15,(Datos!J15+Datos!AD15-(Datos!T15+Datos!AL15))/(Datos!T15+Datos!AL15))
     ),IF(D_I="SI",(Datos!J15-Datos!T15)/Datos!T15,(Datos!J15+Datos!AD15-(Datos!T15+Datos!AL15))/(Datos!T15+Datos!AL15))," - ")</f>
        <v>5.8772311710927297E-2</v>
      </c>
      <c r="F15" s="348">
        <f>IF(ISNUMBER(
   IF(D_I="SI",(Datos!K15-Datos!U15)/Datos!U15,(Datos!K15+Datos!AE15-(Datos!U15+Datos!AM15))/(Datos!U15+Datos!AM15))
     ),IF(D_I="SI",(Datos!K15-Datos!U15)/Datos!U15,(Datos!K15+Datos!AE15-(Datos!U15+Datos!AM15))/(Datos!U15+Datos!AM15))," - ")</f>
        <v>7.6940182343784747E-2</v>
      </c>
      <c r="G15" s="349">
        <f>IF(ISNUMBER(
   IF(D_I="SI",(Datos!L15-Datos!V15)/Datos!V15,(Datos!L15+Datos!AF15-(Datos!V15+Datos!AN15))/(Datos!V15+Datos!AN15))
     ),IF(D_I="SI",(Datos!L15-Datos!V15)/Datos!V15,(Datos!L15+Datos!AF15-(Datos!V15+Datos!AN15))/(Datos!V15+Datos!AN15))," - ")</f>
        <v>0.28646379853095488</v>
      </c>
      <c r="H15" s="230">
        <f>IF(ISNUMBER((Datos!M15-Datos!W15)/Datos!W15),(Datos!M15-Datos!W15)/Datos!W15," - ")</f>
        <v>0.17216981132075471</v>
      </c>
      <c r="I15" s="350">
        <f>IF(ISNUMBER((Tasas!C15-Datos!BE15)/Datos!BE15),(Tasas!C15-Datos!BE15)/Datos!BE15," - ")</f>
        <v>0.19455455337470665</v>
      </c>
      <c r="J15" s="349">
        <f>IF(ISNUMBER((Tasas!D15-Datos!BF15)/Datos!BF15),(Tasas!D15-Datos!BF15)/Datos!BF15," - ")</f>
        <v>8.8426108096104516E-2</v>
      </c>
      <c r="K15" s="351">
        <f>IF(ISNUMBER((Tasas!E15-Datos!BG15)/Datos!BG15),(Tasas!E15-Datos!BG15)/Datos!BG15," - ")</f>
        <v>7.2832898213105068E-2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2.6515151515151516E-2</v>
      </c>
      <c r="E17" s="348">
        <f>IF(ISNUMBER(
   IF(D_I="SI",(Datos!J17-Datos!T17)/Datos!T17,(Datos!J17+Datos!AD17-(Datos!T17+Datos!AL17))/(Datos!T17+Datos!AL17))
     ),IF(D_I="SI",(Datos!J17-Datos!T17)/Datos!T17,(Datos!J17+Datos!AD17-(Datos!T17+Datos!AL17))/(Datos!T17+Datos!AL17))," - ")</f>
        <v>-0.17264957264957265</v>
      </c>
      <c r="F17" s="348">
        <f>IF(ISNUMBER(
   IF(D_I="SI",(Datos!K17-Datos!U17)/Datos!U17,(Datos!K17+Datos!AE17-(Datos!U17+Datos!AM17))/(Datos!U17+Datos!AM17))
     ),IF(D_I="SI",(Datos!K17-Datos!U17)/Datos!U17,(Datos!K17+Datos!AE17-(Datos!U17+Datos!AM17))/(Datos!U17+Datos!AM17))," - ")</f>
        <v>-0.2719869706840391</v>
      </c>
      <c r="G17" s="349">
        <f>IF(ISNUMBER(
   IF(D_I="SI",(Datos!L17-Datos!V17)/Datos!V17,(Datos!L17+Datos!AF17-(Datos!V17+Datos!AN17))/(Datos!V17+Datos!AN17))
     ),IF(D_I="SI",(Datos!L17-Datos!V17)/Datos!V17,(Datos!L17+Datos!AF17-(Datos!V17+Datos!AN17))/(Datos!V17+Datos!AN17))," - ")</f>
        <v>0.13976377952755906</v>
      </c>
      <c r="H17" s="230">
        <f>IF(ISNUMBER((Datos!M17-Datos!W17)/Datos!W17),(Datos!M17-Datos!W17)/Datos!W17," - ")</f>
        <v>-0.20689655172413793</v>
      </c>
      <c r="I17" s="350">
        <f>IF(ISNUMBER((Tasas!C17-Datos!BE17)/Datos!BE17),(Tasas!C17-Datos!BE17)/Datos!BE17," - ")</f>
        <v>0.56558156740474552</v>
      </c>
      <c r="J17" s="349">
        <f>IF(ISNUMBER((Tasas!D17-Datos!BF17)/Datos!BF17),(Tasas!D17-Datos!BF17)/Datos!BF17," - ")</f>
        <v>8.9408315976240063E-2</v>
      </c>
      <c r="K17" s="351">
        <f>IF(ISNUMBER((Tasas!E17-Datos!BG17)/Datos!BG17),(Tasas!E17-Datos!BG17)/Datos!BG17," - ")</f>
        <v>0.26623129940845536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0.27025374503210026</v>
      </c>
      <c r="E18" s="354">
        <f>IF(ISNUMBER(
   IF(D_I="SI",(Datos!J18-Datos!T18)/Datos!T18,(Datos!J18+Datos!AD18-(Datos!T18+Datos!AL18))/(Datos!T18+Datos!AL18))
     ),IF(D_I="SI",(Datos!J18-Datos!T18)/Datos!T18,(Datos!J18+Datos!AD18-(Datos!T18+Datos!AL18))/(Datos!T18+Datos!AL18))," - ")</f>
        <v>3.2631782197335396E-2</v>
      </c>
      <c r="F18" s="354">
        <f>IF(ISNUMBER(
   IF(D_I="SI",(Datos!K18-Datos!U18)/Datos!U18,(Datos!K18+Datos!AE18-(Datos!U18+Datos!AM18))/(Datos!U18+Datos!AM18))
     ),IF(D_I="SI",(Datos!K18-Datos!U18)/Datos!U18,(Datos!K18+Datos!AE18-(Datos!U18+Datos!AM18))/(Datos!U18+Datos!AM18))," - ")</f>
        <v>3.5022500489141066E-2</v>
      </c>
      <c r="G18" s="355">
        <f>IF(ISNUMBER(
   IF(D_I="SI",(Datos!L18-Datos!V18)/Datos!V18,(Datos!L18+Datos!AF18-(Datos!V18+Datos!AN18))/(Datos!V18+Datos!AN18))
     ),IF(D_I="SI",(Datos!L18-Datos!V18)/Datos!V18,(Datos!L18+Datos!AF18-(Datos!V18+Datos!AN18))/(Datos!V18+Datos!AN18))," - ")</f>
        <v>0.26433026433026435</v>
      </c>
      <c r="H18" s="356">
        <f>IF(ISNUMBER((Datos!M18-Datos!W18)/Datos!W18),(Datos!M18-Datos!W18)/Datos!W18," - ")</f>
        <v>0.12655601659751037</v>
      </c>
      <c r="I18" s="357">
        <f>IF(ISNUMBER((Tasas!C18-Datos!BE18)/Datos!BE18),(Tasas!C18-Datos!BE18)/Datos!BE18," - ")</f>
        <v>0.22154857863742541</v>
      </c>
      <c r="J18" s="355">
        <f>IF(ISNUMBER((Tasas!D18-Datos!BF18)/Datos!BF18),(Tasas!D18-Datos!BF18)/Datos!BF18," - ")</f>
        <v>8.843625724572321E-2</v>
      </c>
      <c r="K18" s="358">
        <f>IF(ISNUMBER((Tasas!E18-Datos!BG18)/Datos!BG18),(Tasas!E18-Datos!BG18)/Datos!BG18," - ")</f>
        <v>8.6561291260724121E-2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0.23881420199931058</v>
      </c>
      <c r="E19" s="363">
        <f>IF(ISNUMBER(
   IF(J_V="SI",(Datos!J19-Datos!T19)/Datos!T19,(Datos!J19+Datos!Z19-(Datos!T19+Datos!AH19))/(Datos!T19+Datos!AH19))
     ),IF(J_V="SI",(Datos!J19-Datos!T19)/Datos!T19,(Datos!J19+Datos!Z19-(Datos!T19+Datos!AH19))/(Datos!T19+Datos!AH19))," - ")</f>
        <v>0.11859154929577465</v>
      </c>
      <c r="F19" s="363">
        <f>IF(ISNUMBER(
   IF(J_V="SI",(Datos!K19-Datos!U19)/Datos!U19,(Datos!K19+Datos!AA19-(Datos!U19+Datos!AI19))/(Datos!U19+Datos!AI19))
     ),IF(J_V="SI",(Datos!K19-Datos!U19)/Datos!U19,(Datos!K19+Datos!AA19-(Datos!U19+Datos!AI19))/(Datos!U19+Datos!AI19))," - ")</f>
        <v>-1.6578896040569534E-3</v>
      </c>
      <c r="G19" s="364">
        <f>IF(ISNUMBER(
   IF(J_V="SI",(Datos!L19-Datos!V19)/Datos!V19,(Datos!L19+Datos!AB19-(Datos!V19+Datos!AJ19))/(Datos!V19+Datos!AJ19))
     ),IF(J_V="SI",(Datos!L19-Datos!V19)/Datos!V19,(Datos!L19+Datos!AB19-(Datos!V19+Datos!AJ19))/(Datos!V19+Datos!AJ19))," - ")</f>
        <v>0.29537389932974112</v>
      </c>
      <c r="H19" s="365">
        <f>IF(ISNUMBER((Datos!M19-Datos!W19)/Datos!W19),(Datos!M19-Datos!W19)/Datos!W19," - ")</f>
        <v>0.12541918175720992</v>
      </c>
      <c r="I19" s="362">
        <f>IF(ISNUMBER((Tasas!C19-Datos!BE19)/Datos!BE19),(Tasas!C19-Datos!BE19)/Datos!BE19," - ")</f>
        <v>0.29752505262549228</v>
      </c>
      <c r="J19" s="363">
        <f>IF(ISNUMBER((Tasas!D19-Datos!BF19)/Datos!BF19),(Tasas!D19-Datos!BF19)/Datos!BF19," - ")</f>
        <v>-0.4886563557766721</v>
      </c>
      <c r="K19" s="364">
        <f>IF(ISNUMBER((Tasas!E19-Datos!BG19)/Datos!BG19),(Tasas!E19-Datos!BG19)/Datos!BG19," - ")</f>
        <v>0.18988762978122151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0.25017619789158818</v>
      </c>
      <c r="E21" s="278">
        <f t="shared" si="1"/>
        <v>0.17433999211631276</v>
      </c>
      <c r="F21" s="278">
        <f t="shared" si="1"/>
        <v>0.19415218557588823</v>
      </c>
      <c r="G21" s="279">
        <f t="shared" si="1"/>
        <v>0.23822479614138839</v>
      </c>
      <c r="H21" s="285">
        <f t="shared" si="1"/>
        <v>0.22319730011051839</v>
      </c>
      <c r="I21" s="277">
        <f t="shared" si="1"/>
        <v>0.24948641707649927</v>
      </c>
      <c r="J21" s="278">
        <f t="shared" si="1"/>
        <v>0.30911793707143248</v>
      </c>
      <c r="K21" s="279">
        <f t="shared" si="1"/>
        <v>0.16496147556749899</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5iIRvyb9VamHGZ0dYDk+L+VXjN4GYLYuLWGz9tlbnAhOzKY01eHzOK7ublt8l9h0RYGlTuUTpQEh0wf8m4BhA==" saltValue="udP2ODRWnN1FaIXXyAe2S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35.884957772198128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161</v>
      </c>
      <c r="D10" s="225">
        <f>IF(ISNUMBER(Datos!I10),Datos!I10," - ")</f>
        <v>161</v>
      </c>
      <c r="E10" s="226">
        <f>IF(ISNUMBER(Datos!J10),Datos!J10," - ")</f>
        <v>36</v>
      </c>
      <c r="F10" s="226">
        <f>IF(ISNUMBER(Datos!K10),Datos!K10," - ")</f>
        <v>45</v>
      </c>
      <c r="G10" s="1034" t="str">
        <f>IF(Datos!E10&lt;&gt;"",Datos!E10,Datos!D10)</f>
        <v>37</v>
      </c>
      <c r="H10" s="227">
        <f>IF(ISNUMBER(Datos!L10),Datos!L10," - ")</f>
        <v>152</v>
      </c>
      <c r="I10" s="1044" t="str">
        <f>IF(ISNUMBER(Datos!AS10/Datos!BM10),Datos!AS10/Datos!BM10," - ")</f>
        <v xml:space="preserve"> - </v>
      </c>
      <c r="J10" s="1045">
        <f>IF(ISNUMBER(Datos!BY10/Datos!CN10),Datos!BY10/Datos!CN10," - ")</f>
        <v>0</v>
      </c>
      <c r="K10" s="230">
        <f t="shared" ref="K10:K12" si="1">IF(ISNUMBER((E10-F10)/C10),(E10-F10)/C10," - ")</f>
        <v>-5.5900621118012424E-2</v>
      </c>
      <c r="L10" s="1025">
        <f>IF(ISNUMBER(NºAsuntos!I10/NºAsuntos!G10),(NºAsuntos!I10/NºAsuntos!G10)*11," - ")</f>
        <v>37.155555555555559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21.366602687140116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161</v>
      </c>
      <c r="D13" s="1049">
        <f>SUBTOTAL(9,D9:D12)</f>
        <v>161</v>
      </c>
      <c r="E13" s="1050">
        <f>SUBTOTAL(9,E9:E12)</f>
        <v>36</v>
      </c>
      <c r="F13" s="1051">
        <f>SUBTOTAL(9,F9:F12)</f>
        <v>45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6</v>
      </c>
      <c r="B15" s="502" t="str">
        <f>Datos!A15</f>
        <v xml:space="preserve">Jdos. Instrucción                               </v>
      </c>
      <c r="C15" s="225">
        <f t="shared" ref="C15:C17" si="2">IF(ISNUMBER(H15-E15+F15),H15-E15+F15," - ")</f>
        <v>3657</v>
      </c>
      <c r="D15" s="225">
        <f>IF(ISNUMBER(IF(D_I="SI",Datos!I15,Datos!I15+Datos!AC15)),IF(D_I="SI",Datos!I15,Datos!I15+Datos!AC15)," - ")</f>
        <v>3613</v>
      </c>
      <c r="E15" s="226">
        <f>IF(ISNUMBER(IF(D_I="SI",Datos!J15,Datos!J15+Datos!AD15)),IF(D_I="SI",Datos!J15,Datos!J15+Datos!AD15)," - ")</f>
        <v>4864</v>
      </c>
      <c r="F15" s="226">
        <f>IF(ISNUMBER(IF(D_I="SI",Datos!K15,Datos!K15+Datos!AE15)),IF(D_I="SI",Datos!K15,Datos!K15+Datos!AE15)," - ")</f>
        <v>4843</v>
      </c>
      <c r="G15" s="1034" t="str">
        <f>IF(Datos!E15&lt;&gt;"",Datos!E15,Datos!D15)</f>
        <v>03</v>
      </c>
      <c r="H15" s="227">
        <f>IF(ISNUMBER(IF(D_I="SI",Datos!L15,Datos!L15+Datos!AF15)),IF(D_I="SI",Datos!L15,Datos!L15+Datos!AF15)," - ")</f>
        <v>3678</v>
      </c>
      <c r="I15" s="1044" t="str">
        <f>IF(ISNUMBER(Datos!AS15/Datos!BM15),Datos!AS15/Datos!BM15," - ")</f>
        <v xml:space="preserve"> - </v>
      </c>
      <c r="J15" s="1045">
        <f>IF(ISNUMBER(Datos!BY15/Datos!CN15),Datos!BY15/Datos!CN15," - ")</f>
        <v>0</v>
      </c>
      <c r="K15" s="230">
        <f t="shared" ref="K15:K17" si="3">IF(ISNUMBER((E15-F15)/C15),(E15-F15)/C15," - ")</f>
        <v>5.742411812961444E-3</v>
      </c>
      <c r="L15" s="1025">
        <f>IF(ISNUMBER(NºAsuntos!I15/NºAsuntos!G15),(NºAsuntos!I15/NºAsuntos!G15)*11," - ")</f>
        <v>8.3539128639273184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542</v>
      </c>
      <c r="D17" s="225">
        <f>IF(ISNUMBER(IF(D_I="SI",Datos!I17,Datos!I17+Datos!AC17)),IF(D_I="SI",Datos!I17,Datos!I17+Datos!AC17)," - ")</f>
        <v>542</v>
      </c>
      <c r="E17" s="226">
        <f>IF(ISNUMBER(IF(D_I="SI",Datos!J17,Datos!J17+Datos!AD17)),IF(D_I="SI",Datos!J17,Datos!J17+Datos!AD17)," - ")</f>
        <v>484</v>
      </c>
      <c r="F17" s="226">
        <f>IF(ISNUMBER(IF(D_I="SI",Datos!K17,Datos!K17+Datos!AE17)),IF(D_I="SI",Datos!K17,Datos!K17+Datos!AE17)," - ")</f>
        <v>447</v>
      </c>
      <c r="G17" s="1034" t="str">
        <f>IF(Datos!E17&lt;&gt;"",Datos!E17,Datos!D17)</f>
        <v>37</v>
      </c>
      <c r="H17" s="227">
        <f>IF(ISNUMBER(IF(D_I="SI",Datos!L17,Datos!L17+Datos!AF17)),IF(D_I="SI",Datos!L17,Datos!L17+Datos!AF17)," - ")</f>
        <v>579</v>
      </c>
      <c r="I17" s="1044" t="str">
        <f>IF(ISNUMBER(Datos!AS17/Datos!BM17),Datos!AS17/Datos!BM17," - ")</f>
        <v xml:space="preserve"> - </v>
      </c>
      <c r="J17" s="1045" t="str">
        <f>IF(ISNUMBER((Datos!BY17+Datos!BZ17)/Datos!CN17),(Datos!BY17+Datos!BZ17)/Datos!CN17," - ")</f>
        <v xml:space="preserve"> - </v>
      </c>
      <c r="K17" s="230">
        <f t="shared" si="3"/>
        <v>6.8265682656826573E-2</v>
      </c>
      <c r="L17" s="1025">
        <f>IF(ISNUMBER(NºAsuntos!I17/NºAsuntos!G17),(NºAsuntos!I17/NºAsuntos!G17)*11," - ")</f>
        <v>14.248322147651006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4199</v>
      </c>
      <c r="D18" s="1049">
        <f>SUBTOTAL(9,D15:D17)</f>
        <v>4155</v>
      </c>
      <c r="E18" s="1050">
        <f>SUBTOTAL(9,E15:E17)</f>
        <v>5348</v>
      </c>
      <c r="F18" s="1050">
        <f>SUBTOTAL(9,F15:F17)</f>
        <v>5290</v>
      </c>
      <c r="G18" s="1052" t="str">
        <f ca="1">INDIRECT(CONCATENATE("G",ROW()-1))</f>
        <v>37</v>
      </c>
      <c r="H18" s="1053">
        <f ca="1">SUMIF(G$14:G17,G18,H$14:H17)</f>
        <v>579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4360</v>
      </c>
      <c r="D19" s="1071">
        <f>SUBTOTAL(9,D9:D18)</f>
        <v>4316</v>
      </c>
      <c r="E19" s="1072">
        <f>SUBTOTAL(9,E9:E18)</f>
        <v>5384</v>
      </c>
      <c r="F19" s="1072">
        <f>SUBTOTAL(9,F9:F18)</f>
        <v>5335</v>
      </c>
      <c r="G19" s="1073"/>
      <c r="H19" s="1074">
        <f ca="1">SUMIF(B9:B18,"TOTAL",H9:H18)</f>
        <v>579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LpjIACyE2GnxQcBdV1gBFHJiysN6a6g0o+wLkvUoOYkVI/8jjwVa7RNUe6aYYbW+VAYvDVv3KMc9DYjdtbNcEg==" saltValue="1iGCeF8LHlPnl88wdaWmZg=="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zQJ0zyNWfCTVEC03VS91jFb2Ku+/goNm9GDXsHTITXS4ZXunPL3eD/zp3RAHmbkKDw8V/RUoI+J6eX/nHamg==" saltValue="LwDYXBaUvoAwbhRx28q7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v>12412</v>
      </c>
      <c r="J9" s="181">
        <v>5707</v>
      </c>
      <c r="K9" s="181">
        <v>4030</v>
      </c>
      <c r="L9" s="181">
        <v>14094</v>
      </c>
      <c r="M9" s="181">
        <v>916</v>
      </c>
      <c r="N9" s="181">
        <v>2261</v>
      </c>
      <c r="O9" s="181">
        <v>1708</v>
      </c>
      <c r="P9" s="181">
        <v>926</v>
      </c>
      <c r="Q9" s="181">
        <v>634</v>
      </c>
      <c r="R9" s="181">
        <v>16585</v>
      </c>
      <c r="S9" s="181">
        <v>9663</v>
      </c>
      <c r="T9" s="181">
        <v>4427</v>
      </c>
      <c r="U9" s="181">
        <v>4147</v>
      </c>
      <c r="V9" s="181">
        <v>10264</v>
      </c>
      <c r="W9" s="181">
        <v>767</v>
      </c>
      <c r="X9" s="188">
        <v>2538</v>
      </c>
      <c r="Y9" s="191">
        <v>218</v>
      </c>
      <c r="Z9" s="181">
        <v>331</v>
      </c>
      <c r="AA9" s="181">
        <v>351</v>
      </c>
      <c r="AB9" s="181">
        <v>198</v>
      </c>
      <c r="AC9" s="181">
        <v>0</v>
      </c>
      <c r="AD9" s="181">
        <v>0</v>
      </c>
      <c r="AE9" s="181">
        <v>0</v>
      </c>
      <c r="AF9" s="188">
        <v>0</v>
      </c>
      <c r="AG9" s="191">
        <v>230</v>
      </c>
      <c r="AH9" s="181">
        <v>407</v>
      </c>
      <c r="AI9" s="181">
        <v>430</v>
      </c>
      <c r="AJ9" s="192">
        <v>175</v>
      </c>
      <c r="AK9" s="180">
        <v>0</v>
      </c>
      <c r="AL9" s="181">
        <v>0</v>
      </c>
      <c r="AM9" s="181">
        <v>0</v>
      </c>
      <c r="AN9" s="188">
        <v>0</v>
      </c>
      <c r="AO9" s="258">
        <v>9</v>
      </c>
      <c r="AP9" s="154">
        <v>9</v>
      </c>
      <c r="AQ9" s="154">
        <v>9</v>
      </c>
      <c r="AR9" s="193">
        <v>9</v>
      </c>
      <c r="AS9" s="338" t="s">
        <v>799</v>
      </c>
      <c r="AT9" s="195"/>
      <c r="AU9" s="194"/>
      <c r="AV9" s="195"/>
      <c r="AW9" s="194"/>
      <c r="AX9" s="195"/>
      <c r="AY9" s="123">
        <f>IF(ISNUMBER(IF(J_V="SI",S9,S9+AG9)),IF(J_V="SI",S9,S9+AG9)," - ")</f>
        <v>9893</v>
      </c>
      <c r="AZ9" s="123">
        <f>IF(ISNUMBER(IF(J_V="SI",T9,T9+AH9)),IF(J_V="SI",T9,T9+AH9)," - ")</f>
        <v>4834</v>
      </c>
      <c r="BA9" s="124">
        <f>IF(ISNUMBER(IF(J_V="SI",U9,U9+AI9)),IF(J_V="SI",U9,U9+AI9)," - ")</f>
        <v>4577</v>
      </c>
      <c r="BB9" s="124">
        <f>IF(ISNUMBER(IF(J_V="SI",V9,V9+AJ9)),IF(J_V="SI",V9,V9+AJ9)," - ")</f>
        <v>10439</v>
      </c>
      <c r="BC9" s="125">
        <f>IF(ISNUMBER(X9),X9," - ")</f>
        <v>2538</v>
      </c>
      <c r="BD9" s="126">
        <f>IF(ISNUMBER(BA9/AZ9),BA9/AZ9," - ")</f>
        <v>0.9468349193214729</v>
      </c>
      <c r="BE9" s="127">
        <f>IF(ISNUMBER(BB9/BA9),BB9/BA9, " - ")</f>
        <v>2.2807515840069916</v>
      </c>
      <c r="BF9" s="127">
        <f>IF(ISNUMBER(BC9/BA9),BC9/BA9, " - ")</f>
        <v>0.55451168887917845</v>
      </c>
      <c r="BG9" s="196">
        <f>IF(ISNUMBER((AY9+AZ9)/BA9),(AY9+AZ9)/BA9," - ")</f>
        <v>3.2176097880707886</v>
      </c>
      <c r="BH9" s="154">
        <v>9</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161</v>
      </c>
      <c r="J10" s="181">
        <v>36</v>
      </c>
      <c r="K10" s="181">
        <v>45</v>
      </c>
      <c r="L10" s="181">
        <v>152</v>
      </c>
      <c r="M10" s="181">
        <v>29</v>
      </c>
      <c r="N10" s="181">
        <v>0</v>
      </c>
      <c r="O10" s="181">
        <v>0</v>
      </c>
      <c r="P10" s="181">
        <v>32</v>
      </c>
      <c r="Q10" s="181">
        <v>16</v>
      </c>
      <c r="R10" s="181">
        <v>60</v>
      </c>
      <c r="S10" s="181">
        <v>208</v>
      </c>
      <c r="T10" s="181">
        <v>52</v>
      </c>
      <c r="U10" s="181">
        <v>63</v>
      </c>
      <c r="V10" s="181">
        <v>197</v>
      </c>
      <c r="W10" s="181">
        <v>48</v>
      </c>
      <c r="X10" s="188">
        <v>15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208</v>
      </c>
      <c r="AZ10" s="129">
        <f t="shared" si="0"/>
        <v>52</v>
      </c>
      <c r="BA10" s="129">
        <f t="shared" si="0"/>
        <v>63</v>
      </c>
      <c r="BB10" s="129">
        <f t="shared" si="0"/>
        <v>197</v>
      </c>
      <c r="BC10" s="125">
        <f t="shared" si="0"/>
        <v>48</v>
      </c>
      <c r="BD10" s="126">
        <f>IF(ISNUMBER(BA10/AZ10),BA10/AZ10," - ")</f>
        <v>1.2115384615384615</v>
      </c>
      <c r="BE10" s="127">
        <f>IF(ISNUMBER(BB10/BA10),BB10/BA10, " - ")</f>
        <v>3.126984126984127</v>
      </c>
      <c r="BF10" s="127">
        <f>IF(ISNUMBER(BC10/BA10),BC10/BA10, " - ")</f>
        <v>0.76190476190476186</v>
      </c>
      <c r="BG10" s="196">
        <f>IF(ISNUMBER((AY10+AZ10)/BA10),(AY10+AZ10)/BA10," - ")</f>
        <v>4.1269841269841274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v>923</v>
      </c>
      <c r="J11" s="183">
        <v>417</v>
      </c>
      <c r="K11" s="183">
        <v>433</v>
      </c>
      <c r="L11" s="183">
        <v>919</v>
      </c>
      <c r="M11" s="183">
        <v>190</v>
      </c>
      <c r="N11" s="183">
        <v>231</v>
      </c>
      <c r="O11" s="181">
        <v>134</v>
      </c>
      <c r="P11" s="183">
        <v>46</v>
      </c>
      <c r="Q11" s="183">
        <v>46</v>
      </c>
      <c r="R11" s="183">
        <v>660</v>
      </c>
      <c r="S11" s="183">
        <v>991</v>
      </c>
      <c r="T11" s="183">
        <v>506</v>
      </c>
      <c r="U11" s="183">
        <v>420</v>
      </c>
      <c r="V11" s="183">
        <v>1077</v>
      </c>
      <c r="W11" s="183">
        <v>194</v>
      </c>
      <c r="X11" s="189">
        <v>219</v>
      </c>
      <c r="Y11" s="191">
        <v>100</v>
      </c>
      <c r="Z11" s="181">
        <v>74</v>
      </c>
      <c r="AA11" s="181">
        <v>88</v>
      </c>
      <c r="AB11" s="181">
        <v>93</v>
      </c>
      <c r="AC11" s="183">
        <v>0</v>
      </c>
      <c r="AD11" s="183">
        <v>0</v>
      </c>
      <c r="AE11" s="183">
        <v>0</v>
      </c>
      <c r="AF11" s="189">
        <v>0</v>
      </c>
      <c r="AG11" s="202">
        <v>142</v>
      </c>
      <c r="AH11" s="183">
        <v>79</v>
      </c>
      <c r="AI11" s="183">
        <v>83</v>
      </c>
      <c r="AJ11" s="203">
        <v>138</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1133</v>
      </c>
      <c r="AZ11" s="127">
        <f t="shared" si="1"/>
        <v>585</v>
      </c>
      <c r="BA11" s="127">
        <f t="shared" si="1"/>
        <v>503</v>
      </c>
      <c r="BB11" s="127">
        <f t="shared" si="1"/>
        <v>1215</v>
      </c>
      <c r="BC11" s="125">
        <f>IF(ISNUMBER(X11),X11," - ")</f>
        <v>219</v>
      </c>
      <c r="BD11" s="126">
        <f t="shared" ref="BD11:BD12" si="2">IF(ISNUMBER(BA11/AZ11),BA11/AZ11," - ")</f>
        <v>0.85982905982905988</v>
      </c>
      <c r="BE11" s="127">
        <f t="shared" ref="BE11:BE12" si="3">IF(ISNUMBER(BB11/BA11),BB11/BA11, " - ")</f>
        <v>2.4155069582504969</v>
      </c>
      <c r="BF11" s="127">
        <f t="shared" ref="BF11:BF12" si="4">IF(ISNUMBER(BC11/BA11),BC11/BA11, " - ")</f>
        <v>0.43538767395626243</v>
      </c>
      <c r="BG11" s="196">
        <f t="shared" ref="BG11:BG12" si="5">IF(ISNUMBER((AY11+AZ11)/BA11),(AY11+AZ11)/BA11," - ")</f>
        <v>3.4155069582504969</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13496</v>
      </c>
      <c r="J13" s="184">
        <f t="shared" si="6"/>
        <v>6160</v>
      </c>
      <c r="K13" s="184">
        <f t="shared" si="6"/>
        <v>4508</v>
      </c>
      <c r="L13" s="184">
        <f t="shared" si="6"/>
        <v>15165</v>
      </c>
      <c r="M13" s="184">
        <f t="shared" si="6"/>
        <v>1135</v>
      </c>
      <c r="N13" s="184">
        <f t="shared" si="6"/>
        <v>2492</v>
      </c>
      <c r="O13" s="184">
        <f t="shared" si="6"/>
        <v>1842</v>
      </c>
      <c r="P13" s="184">
        <f t="shared" si="6"/>
        <v>1004</v>
      </c>
      <c r="Q13" s="184">
        <f t="shared" si="6"/>
        <v>696</v>
      </c>
      <c r="R13" s="184">
        <f t="shared" si="6"/>
        <v>17305</v>
      </c>
      <c r="S13" s="184">
        <f t="shared" si="6"/>
        <v>10862</v>
      </c>
      <c r="T13" s="184">
        <f t="shared" si="6"/>
        <v>4985</v>
      </c>
      <c r="U13" s="184">
        <f t="shared" si="6"/>
        <v>4630</v>
      </c>
      <c r="V13" s="184">
        <f t="shared" si="6"/>
        <v>11538</v>
      </c>
      <c r="W13" s="184">
        <f t="shared" si="6"/>
        <v>1009</v>
      </c>
      <c r="X13" s="184">
        <f t="shared" si="6"/>
        <v>2772</v>
      </c>
      <c r="Y13" s="184">
        <f t="shared" si="6"/>
        <v>318</v>
      </c>
      <c r="Z13" s="184">
        <f t="shared" si="6"/>
        <v>405</v>
      </c>
      <c r="AA13" s="184">
        <f t="shared" si="6"/>
        <v>439</v>
      </c>
      <c r="AB13" s="184">
        <f t="shared" si="6"/>
        <v>291</v>
      </c>
      <c r="AC13" s="184">
        <f t="shared" si="6"/>
        <v>0</v>
      </c>
      <c r="AD13" s="184">
        <f t="shared" si="6"/>
        <v>0</v>
      </c>
      <c r="AE13" s="184">
        <f t="shared" si="6"/>
        <v>0</v>
      </c>
      <c r="AF13" s="184">
        <f>SUBTOTAL(9,AF9:AF12)</f>
        <v>0</v>
      </c>
      <c r="AG13" s="184">
        <f t="shared" ref="AG13:AT13" si="7">SUBTOTAL(9,AG8:AG12)</f>
        <v>372</v>
      </c>
      <c r="AH13" s="184">
        <f t="shared" si="7"/>
        <v>486</v>
      </c>
      <c r="AI13" s="184">
        <f t="shared" si="7"/>
        <v>513</v>
      </c>
      <c r="AJ13" s="184">
        <f t="shared" si="7"/>
        <v>313</v>
      </c>
      <c r="AK13" s="184">
        <f t="shared" si="7"/>
        <v>0</v>
      </c>
      <c r="AL13" s="184">
        <f t="shared" si="7"/>
        <v>0</v>
      </c>
      <c r="AM13" s="184">
        <f t="shared" si="7"/>
        <v>0</v>
      </c>
      <c r="AN13" s="184">
        <f t="shared" si="7"/>
        <v>0</v>
      </c>
      <c r="AO13" s="184">
        <f t="shared" si="7"/>
        <v>12</v>
      </c>
      <c r="AP13" s="184">
        <f t="shared" si="7"/>
        <v>12</v>
      </c>
      <c r="AQ13" s="184">
        <f t="shared" si="7"/>
        <v>12</v>
      </c>
      <c r="AR13" s="184">
        <f t="shared" si="7"/>
        <v>12</v>
      </c>
      <c r="AS13" s="184">
        <f t="shared" si="7"/>
        <v>0</v>
      </c>
      <c r="AT13" s="184">
        <f t="shared" si="7"/>
        <v>0</v>
      </c>
      <c r="AU13" s="204"/>
      <c r="AV13" s="132"/>
      <c r="AW13" s="204"/>
      <c r="AX13" s="132"/>
      <c r="AY13" s="184">
        <f>SUBTOTAL(9,AY8:AY12)</f>
        <v>11234</v>
      </c>
      <c r="AZ13" s="184">
        <f>SUBTOTAL(9,AZ8:AZ12)</f>
        <v>5471</v>
      </c>
      <c r="BA13" s="184">
        <f>SUBTOTAL(9,BA8:BA12)</f>
        <v>5143</v>
      </c>
      <c r="BB13" s="184">
        <f>SUBTOTAL(9,BB8:BB12)</f>
        <v>11851</v>
      </c>
      <c r="BC13" s="184">
        <f>SUBTOTAL(9,BC8:BC12)</f>
        <v>2805</v>
      </c>
      <c r="BD13" s="205">
        <f>IF(ISNUMBER(BA13/AZ13),BA13/AZ13," - ")</f>
        <v>0.94004752330469754</v>
      </c>
      <c r="BE13" s="206">
        <f>IF(ISNUMBER(BB13/BA13),BB13/BA13, " - ")</f>
        <v>2.304297102858254</v>
      </c>
      <c r="BF13" s="206">
        <f>IF(ISNUMBER(BC13/BA13),BC13/BA13, " - ")</f>
        <v>0.54540151662453817</v>
      </c>
      <c r="BG13" s="207">
        <f>IF(ISNUMBER((AY13+AZ13)/BA13),(AY13+AZ13)/BA13," - ")</f>
        <v>3.2481042193272409</v>
      </c>
      <c r="BH13" s="140">
        <f>SUBTOTAL(9,BH8:BH12)</f>
        <v>12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v>3613</v>
      </c>
      <c r="J15" s="183">
        <v>4864</v>
      </c>
      <c r="K15" s="183">
        <v>4843</v>
      </c>
      <c r="L15" s="183">
        <v>3678</v>
      </c>
      <c r="M15" s="183">
        <v>497</v>
      </c>
      <c r="N15" s="183">
        <v>2762</v>
      </c>
      <c r="O15" s="181">
        <v>59</v>
      </c>
      <c r="P15" s="183">
        <v>132</v>
      </c>
      <c r="Q15" s="183">
        <v>201</v>
      </c>
      <c r="R15" s="183">
        <v>313</v>
      </c>
      <c r="S15" s="183">
        <v>2743</v>
      </c>
      <c r="T15" s="183">
        <v>4594</v>
      </c>
      <c r="U15" s="183">
        <v>4497</v>
      </c>
      <c r="V15" s="183">
        <v>2859</v>
      </c>
      <c r="W15" s="183">
        <v>424</v>
      </c>
      <c r="X15" s="189">
        <v>2706</v>
      </c>
      <c r="Y15" s="202">
        <v>0</v>
      </c>
      <c r="Z15" s="183">
        <v>0</v>
      </c>
      <c r="AA15" s="183">
        <v>0</v>
      </c>
      <c r="AB15" s="183">
        <v>0</v>
      </c>
      <c r="AC15" s="183">
        <v>0</v>
      </c>
      <c r="AD15" s="183">
        <v>3</v>
      </c>
      <c r="AE15" s="183">
        <v>3</v>
      </c>
      <c r="AF15" s="189">
        <v>0</v>
      </c>
      <c r="AG15" s="202">
        <v>0</v>
      </c>
      <c r="AH15" s="183">
        <v>0</v>
      </c>
      <c r="AI15" s="183">
        <v>0</v>
      </c>
      <c r="AJ15" s="203">
        <v>0</v>
      </c>
      <c r="AK15" s="182">
        <v>0</v>
      </c>
      <c r="AL15" s="183">
        <v>2</v>
      </c>
      <c r="AM15" s="183">
        <v>2</v>
      </c>
      <c r="AN15" s="189">
        <v>0</v>
      </c>
      <c r="AO15" s="259">
        <v>6</v>
      </c>
      <c r="AP15" s="155">
        <v>6</v>
      </c>
      <c r="AQ15" s="155">
        <v>6</v>
      </c>
      <c r="AR15" s="155">
        <v>6</v>
      </c>
      <c r="AS15" s="340" t="s">
        <v>527</v>
      </c>
      <c r="AT15" s="203" t="s">
        <v>326</v>
      </c>
      <c r="AU15" s="202"/>
      <c r="AV15" s="203"/>
      <c r="AW15" s="202"/>
      <c r="AX15" s="203"/>
      <c r="AY15" s="128">
        <f t="shared" ref="AY15:BB16" si="9">IF(ISNUMBER(IF(D_I="SI",S15,S15+AK15)),IF(D_I="SI",S15,S15+AK15)," - ")</f>
        <v>2743</v>
      </c>
      <c r="AZ15" s="129">
        <f t="shared" si="9"/>
        <v>4594</v>
      </c>
      <c r="BA15" s="129">
        <f t="shared" si="9"/>
        <v>4497</v>
      </c>
      <c r="BB15" s="129">
        <f t="shared" si="9"/>
        <v>2859</v>
      </c>
      <c r="BC15" s="125">
        <f>IF(ISNUMBER(W15),W15," - ")</f>
        <v>424</v>
      </c>
      <c r="BD15" s="126">
        <f>IF(ISNUMBER(BA15/AZ15),BA15/AZ15," - ")</f>
        <v>0.97888550282977793</v>
      </c>
      <c r="BE15" s="127">
        <f>IF(ISNUMBER(BB15/BA15),BB15/BA15, " - ")</f>
        <v>0.63575717144763177</v>
      </c>
      <c r="BF15" s="127">
        <f>IF(ISNUMBER(BC15/BA15),BC15/BA15, " - ")</f>
        <v>9.4285078941516567E-2</v>
      </c>
      <c r="BG15" s="196">
        <f t="shared" ref="BG15:BG16" si="10">IF(ISNUMBER((AY15+AZ15)/BA15),(AY15+AZ15)/BA15," - ")</f>
        <v>1.6315321325327996</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542</v>
      </c>
      <c r="J17" s="183">
        <v>484</v>
      </c>
      <c r="K17" s="183">
        <v>447</v>
      </c>
      <c r="L17" s="183">
        <v>579</v>
      </c>
      <c r="M17" s="183">
        <v>46</v>
      </c>
      <c r="N17" s="183">
        <v>335</v>
      </c>
      <c r="O17" s="183">
        <v>6</v>
      </c>
      <c r="P17" s="183">
        <v>5</v>
      </c>
      <c r="Q17" s="183">
        <v>6</v>
      </c>
      <c r="R17" s="183">
        <v>12</v>
      </c>
      <c r="S17" s="183">
        <v>528</v>
      </c>
      <c r="T17" s="183">
        <v>585</v>
      </c>
      <c r="U17" s="183">
        <v>614</v>
      </c>
      <c r="V17" s="183">
        <v>508</v>
      </c>
      <c r="W17" s="183">
        <v>58</v>
      </c>
      <c r="X17" s="189">
        <v>294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528</v>
      </c>
      <c r="AZ17" s="129">
        <f t="shared" si="14"/>
        <v>585</v>
      </c>
      <c r="BA17" s="129">
        <f t="shared" si="14"/>
        <v>614</v>
      </c>
      <c r="BB17" s="129">
        <f t="shared" si="14"/>
        <v>508</v>
      </c>
      <c r="BC17" s="125">
        <f>IF(ISNUMBER(W17),W17," - ")</f>
        <v>58</v>
      </c>
      <c r="BD17" s="126">
        <f>IF(ISNUMBER(BA17/AZ17),BA17/AZ17," - ")</f>
        <v>1.0495726495726496</v>
      </c>
      <c r="BE17" s="127">
        <f>IF(ISNUMBER(BB17/BA17),BB17/BA17, " - ")</f>
        <v>0.82736156351791534</v>
      </c>
      <c r="BF17" s="127">
        <f>IF(ISNUMBER(BC17/BA17),BC17/BA17, " - ")</f>
        <v>9.4462540716612378E-2</v>
      </c>
      <c r="BG17" s="196">
        <f>IF(ISNUMBER((AY17+AZ17)/BA17),(AY17+AZ17)/BA17," - ")</f>
        <v>1.8127035830618892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4155</v>
      </c>
      <c r="J18" s="184">
        <f t="shared" si="15"/>
        <v>5348</v>
      </c>
      <c r="K18" s="184">
        <f t="shared" si="15"/>
        <v>5290</v>
      </c>
      <c r="L18" s="184">
        <f t="shared" si="15"/>
        <v>4257</v>
      </c>
      <c r="M18" s="184">
        <f t="shared" si="15"/>
        <v>543</v>
      </c>
      <c r="N18" s="184">
        <f t="shared" si="15"/>
        <v>3097</v>
      </c>
      <c r="O18" s="184">
        <f t="shared" si="15"/>
        <v>65</v>
      </c>
      <c r="P18" s="184">
        <f t="shared" si="15"/>
        <v>137</v>
      </c>
      <c r="Q18" s="184">
        <f t="shared" si="15"/>
        <v>207</v>
      </c>
      <c r="R18" s="184">
        <f t="shared" si="15"/>
        <v>325</v>
      </c>
      <c r="S18" s="184">
        <f t="shared" si="15"/>
        <v>3271</v>
      </c>
      <c r="T18" s="184">
        <f t="shared" si="15"/>
        <v>5179</v>
      </c>
      <c r="U18" s="184">
        <f t="shared" si="15"/>
        <v>5111</v>
      </c>
      <c r="V18" s="184">
        <f t="shared" si="15"/>
        <v>3367</v>
      </c>
      <c r="W18" s="184">
        <f t="shared" si="15"/>
        <v>482</v>
      </c>
      <c r="X18" s="184">
        <f t="shared" si="15"/>
        <v>3000</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3271</v>
      </c>
      <c r="AZ18" s="184">
        <f>SUBTOTAL(9,AZ14:AZ17)</f>
        <v>5179</v>
      </c>
      <c r="BA18" s="184">
        <f>SUBTOTAL(9,BA14:BA17)</f>
        <v>5111</v>
      </c>
      <c r="BB18" s="184">
        <f>SUBTOTAL(9,BB14:BB17)</f>
        <v>3367</v>
      </c>
      <c r="BC18" s="184">
        <f>SUBTOTAL(9,BC14:BC17)</f>
        <v>482</v>
      </c>
      <c r="BD18" s="205">
        <f>IF(ISNUMBER(BA18/AZ18),BA18/AZ18," - ")</f>
        <v>0.98687005213361656</v>
      </c>
      <c r="BE18" s="206">
        <f>IF(ISNUMBER(BB18/BA18),BB18/BA18, " - ")</f>
        <v>0.65877519076501667</v>
      </c>
      <c r="BF18" s="206">
        <f>IF(ISNUMBER(BC18/BA18),BC18/BA18, " - ")</f>
        <v>9.430639796517315E-2</v>
      </c>
      <c r="BG18" s="207">
        <f>IF(ISNUMBER((AY18+AZ18)/BA18),(AY18+AZ18)/BA18," - ")</f>
        <v>1.6532968108002348</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17651</v>
      </c>
      <c r="J19" s="134">
        <f t="shared" si="18"/>
        <v>11508</v>
      </c>
      <c r="K19" s="134">
        <f t="shared" si="18"/>
        <v>9798</v>
      </c>
      <c r="L19" s="134">
        <f t="shared" si="18"/>
        <v>19422</v>
      </c>
      <c r="M19" s="134">
        <f t="shared" si="18"/>
        <v>1678</v>
      </c>
      <c r="N19" s="134">
        <f t="shared" si="18"/>
        <v>5589</v>
      </c>
      <c r="O19" s="134">
        <f t="shared" si="18"/>
        <v>1907</v>
      </c>
      <c r="P19" s="134">
        <f t="shared" si="18"/>
        <v>1141</v>
      </c>
      <c r="Q19" s="134">
        <f t="shared" si="18"/>
        <v>903</v>
      </c>
      <c r="R19" s="134">
        <f t="shared" si="18"/>
        <v>17630</v>
      </c>
      <c r="S19" s="134">
        <f t="shared" si="18"/>
        <v>14133</v>
      </c>
      <c r="T19" s="134">
        <f t="shared" si="18"/>
        <v>10164</v>
      </c>
      <c r="U19" s="134">
        <f t="shared" si="18"/>
        <v>9741</v>
      </c>
      <c r="V19" s="134">
        <f t="shared" si="18"/>
        <v>14905</v>
      </c>
      <c r="W19" s="134">
        <f t="shared" si="18"/>
        <v>1491</v>
      </c>
      <c r="X19" s="134">
        <f t="shared" si="18"/>
        <v>5772</v>
      </c>
      <c r="Y19" s="134">
        <f t="shared" si="18"/>
        <v>318</v>
      </c>
      <c r="Z19" s="134">
        <f t="shared" si="18"/>
        <v>405</v>
      </c>
      <c r="AA19" s="134">
        <f t="shared" si="18"/>
        <v>439</v>
      </c>
      <c r="AB19" s="134">
        <f t="shared" si="18"/>
        <v>291</v>
      </c>
      <c r="AC19" s="134">
        <f t="shared" si="18"/>
        <v>0</v>
      </c>
      <c r="AD19" s="134">
        <f t="shared" si="18"/>
        <v>3</v>
      </c>
      <c r="AE19" s="134">
        <f t="shared" si="18"/>
        <v>3</v>
      </c>
      <c r="AF19" s="134">
        <f t="shared" si="18"/>
        <v>0</v>
      </c>
      <c r="AG19" s="134">
        <f t="shared" si="18"/>
        <v>372</v>
      </c>
      <c r="AH19" s="134">
        <f t="shared" si="18"/>
        <v>486</v>
      </c>
      <c r="AI19" s="134">
        <f t="shared" si="18"/>
        <v>513</v>
      </c>
      <c r="AJ19" s="134">
        <f t="shared" si="18"/>
        <v>313</v>
      </c>
      <c r="AK19" s="134">
        <f t="shared" si="18"/>
        <v>0</v>
      </c>
      <c r="AL19" s="134">
        <f t="shared" si="18"/>
        <v>2</v>
      </c>
      <c r="AM19" s="134">
        <f t="shared" si="18"/>
        <v>2</v>
      </c>
      <c r="AN19" s="210">
        <f t="shared" si="18"/>
        <v>0</v>
      </c>
      <c r="AO19" s="211">
        <v>18</v>
      </c>
      <c r="AP19" s="211">
        <v>18</v>
      </c>
      <c r="AQ19" s="211">
        <v>18</v>
      </c>
      <c r="AR19" s="211">
        <v>18</v>
      </c>
      <c r="AS19" s="153">
        <f t="shared" si="18"/>
        <v>0</v>
      </c>
      <c r="AT19" s="153">
        <f t="shared" si="18"/>
        <v>0</v>
      </c>
      <c r="AU19" s="211"/>
      <c r="AV19" s="212"/>
      <c r="AW19" s="211"/>
      <c r="AX19" s="212"/>
      <c r="AY19" s="133">
        <f>SUBTOTAL(9,AY9:AY18)</f>
        <v>14505</v>
      </c>
      <c r="AZ19" s="134">
        <f>SUBTOTAL(9,AZ9:AZ18)</f>
        <v>10650</v>
      </c>
      <c r="BA19" s="134">
        <f>SUBTOTAL(9,BA9:BA18)</f>
        <v>10254</v>
      </c>
      <c r="BB19" s="134">
        <f>SUBTOTAL(9,BB9:BB18)</f>
        <v>15218</v>
      </c>
      <c r="BC19" s="135">
        <f>SUBTOTAL(9,BC9:BC18)</f>
        <v>3287</v>
      </c>
      <c r="BD19" s="213">
        <f>IF(ISNUMBER(BA19/AZ19),BA19/AZ19," - ")</f>
        <v>0.96281690140845066</v>
      </c>
      <c r="BE19" s="210">
        <f>IF(ISNUMBER(BB19/BA19),BB19/BA19, " - ")</f>
        <v>1.4841037643846304</v>
      </c>
      <c r="BF19" s="210">
        <f>IF(ISNUMBER(BC19/BA19),BC19/BA19, " - ")</f>
        <v>0.32055783109030622</v>
      </c>
      <c r="BG19" s="135">
        <f>IF(ISNUMBER((AY19+AZ19)/BA19),(AY19+AZ19)/BA19," - ")</f>
        <v>2.4531889994148623</v>
      </c>
      <c r="BH19" s="211">
        <f>SUBTOTAL(9,BH9:BH18)</f>
        <v>19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JTcWSAYLjSGs2zTOQbMl6Bkv3rNbQmJOSo2LB/DfzN6PRIW0T0HnDnMEzHhyD+ppt0BhBEn//b4x3zvyvpqsGQ==" saltValue="/T8Ro5kmZ7oletl4ju0O6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vgXp/dHdaNusWQN1b+fnhV8myU/yXrajPh7HObtKXI5UHCV1vpAA9Es8gKuDv3s7pPGOO5bQEt3X97S0fxBObg==" saltValue="QHpiFx2Hg0Rw9bDQcvFowg=="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ALMERIA  Resumenes por Partidos Judiciales  ALMERIA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9</v>
      </c>
      <c r="B9" s="501" t="s">
        <v>246</v>
      </c>
      <c r="C9" s="160" t="str">
        <f>Datos!A9</f>
        <v xml:space="preserve">Jdos. 1ª Instancia   </v>
      </c>
      <c r="D9" s="502"/>
      <c r="E9" s="260">
        <f>IF(ISNUMBER(Datos!AQ9),Datos!AQ9," - ")</f>
        <v>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331</v>
      </c>
      <c r="O9" s="334"/>
      <c r="P9" s="334"/>
      <c r="Q9" s="226">
        <f>IF(ISNUMBER(Datos!P9),Datos!P9,0)</f>
        <v>926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634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198</v>
      </c>
      <c r="AI9" s="334" t="str">
        <f>IF(ISNUMBER(Datos!CD9),Datos!CD9,"-")</f>
        <v>-</v>
      </c>
      <c r="AJ9" s="334" t="str">
        <f>IF(ISNUMBER(Datos!EN9),Datos!EN9," - ")</f>
        <v xml:space="preserve"> - </v>
      </c>
      <c r="AK9" s="334"/>
      <c r="AL9" s="479"/>
      <c r="AM9" s="335">
        <f>IF(ISNUMBER(Datos!R9),Datos!R9," - ")</f>
        <v>16585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916</v>
      </c>
      <c r="BD9" s="229">
        <f>IF(ISNUMBER(Datos!N9),Datos!N9," - ")</f>
        <v>2261</v>
      </c>
      <c r="BE9" s="229" t="str">
        <f>IF(ISNUMBER(Datos!BW9),Datos!BW9," - ")</f>
        <v xml:space="preserve"> - </v>
      </c>
      <c r="BF9" s="228" t="str">
        <f>IF(ISNUMBER(Datos!BX9),Datos!BX9," - ")</f>
        <v xml:space="preserve"> - </v>
      </c>
      <c r="BG9" s="243">
        <f>IF(ISNUMBER(IF(J_V="SI",Datos!K9/Datos!J9,(Datos!K9+Datos!AA9)/(Datos!J9+Datos!Z9))),IF(J_V="SI",Datos!K9/Datos!J9,(Datos!K9+Datos!AA9)/(Datos!J9+Datos!Z9))," - ")</f>
        <v>0.72557138125207021</v>
      </c>
      <c r="BH9" s="260">
        <f>IF(ISNUMBER(((IF(J_V="SI",Datos!L9/Datos!K9,(Datos!L9+Datos!AB9)/(Datos!K9+Datos!AA9)))*11)/factor_trimestre),((IF(J_V="SI",Datos!L9/Datos!K9,(Datos!L9+Datos!AB9)/(Datos!K9+Datos!AA9)))*11)/factor_trimestre," - ")</f>
        <v>9.7868066651449439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1.792180691094335E-2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1</v>
      </c>
      <c r="F10" s="225">
        <f>IF(ISNUMBER(Datos!L10+Datos!K10-Datos!J10),Datos!L10+Datos!K10-Datos!J10," - ")</f>
        <v>161</v>
      </c>
      <c r="G10" s="333">
        <f>IF(ISNUMBER(Datos!I10),Datos!I10," - ")</f>
        <v>161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45</v>
      </c>
      <c r="AC10" s="226">
        <f>IF(ISNUMBER(Datos!Q10),Datos!Q10," - ")</f>
        <v>16</v>
      </c>
      <c r="AD10" s="334"/>
      <c r="AE10" s="484"/>
      <c r="AF10" s="332">
        <f>IF(ISNUMBER(Datos!L10),Datos!L10,"-")</f>
        <v>152</v>
      </c>
      <c r="AG10" s="334"/>
      <c r="AH10" s="334"/>
      <c r="AI10" s="334"/>
      <c r="AJ10" s="334"/>
      <c r="AK10" s="334"/>
      <c r="AL10" s="479"/>
      <c r="AM10" s="335">
        <f>IF(ISNUMBER(Datos!R10),Datos!R10," - ")</f>
        <v>60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29</v>
      </c>
      <c r="BD10" s="229">
        <f>IF(ISNUMBER(Datos!N10),Datos!N10," - ")</f>
        <v>0</v>
      </c>
      <c r="BE10" s="229" t="str">
        <f>IF(ISNUMBER(Datos!BW10),Datos!BW10," - ")</f>
        <v xml:space="preserve"> - </v>
      </c>
      <c r="BF10" s="228" t="str">
        <f>IF(ISNUMBER(Datos!BX10),Datos!BX10," - ")</f>
        <v xml:space="preserve"> - </v>
      </c>
      <c r="BG10" s="243">
        <f>IF(ISNUMBER(Datos!K10/Datos!J10),Datos!K10/Datos!J10," - ")</f>
        <v>1.25</v>
      </c>
      <c r="BH10" s="260">
        <f>IF(ISNUMBER(((Datos!L10/Datos!K10)*11)/factor_trimestre),((Datos!L10/Datos!K10)*11)/factor_trimestre," - ")</f>
        <v>10.133333333333335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0.36363636363636365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74</v>
      </c>
      <c r="O11" s="334"/>
      <c r="P11" s="334"/>
      <c r="Q11" s="226">
        <f>IF(ISNUMBER(Datos!P11),Datos!P11,0)</f>
        <v>46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46</v>
      </c>
      <c r="AD11" s="334"/>
      <c r="AE11" s="484"/>
      <c r="AF11" s="332" t="str">
        <f>IF(ISNUMBER(IF(J_V="SI",Datos!L11,Datos!L11+Datos!AB11)-IF(Monitorios="SI",Datos!CD11,0)),
                          IF(J_V="SI",Datos!L11,Datos!L11+Datos!AB11)-IF(Monitorios="SI",Datos!CD11,0),
                          " - ")</f>
        <v xml:space="preserve"> - </v>
      </c>
      <c r="AG11" s="334"/>
      <c r="AH11" s="334">
        <f>IF(ISNUMBER(Datos!AB11),Datos!AB11,"-")</f>
        <v>93</v>
      </c>
      <c r="AI11" s="334"/>
      <c r="AJ11" s="334"/>
      <c r="AK11" s="334"/>
      <c r="AL11" s="479"/>
      <c r="AM11" s="335">
        <f>IF(ISNUMBER(Datos!R11),Datos!R11," - ")</f>
        <v>660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190</v>
      </c>
      <c r="BD11" s="229">
        <f>IF(ISNUMBER(Datos!N11),Datos!N11," - ")</f>
        <v>231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1.0610997963340123</v>
      </c>
      <c r="BH11" s="260">
        <f>IF(ISNUMBER(((IF(J_V="SI",Datos!L11/Datos!K11,(Datos!L11+Datos!AB11)/(Datos!K11+Datos!AA11)))*11)/factor_trimestre),((IF(J_V="SI",Datos!L11/Datos!K11,(Datos!L11+Datos!AB11)/(Datos!K11+Datos!AA11)))*11)/factor_trimestre," - ")</f>
        <v>5.8272552783109406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12</v>
      </c>
      <c r="F13" s="898">
        <f t="shared" si="0"/>
        <v>161</v>
      </c>
      <c r="G13" s="898">
        <f t="shared" si="0"/>
        <v>161</v>
      </c>
      <c r="H13" s="899">
        <f t="shared" si="0"/>
        <v>0</v>
      </c>
      <c r="I13" s="898">
        <f t="shared" si="0"/>
        <v>0</v>
      </c>
      <c r="J13" s="867">
        <f t="shared" si="0"/>
        <v>0</v>
      </c>
      <c r="K13" s="867">
        <f t="shared" si="0"/>
        <v>0</v>
      </c>
      <c r="L13" s="899">
        <f t="shared" si="0"/>
        <v>0</v>
      </c>
      <c r="M13" s="899">
        <f t="shared" si="0"/>
        <v>0</v>
      </c>
      <c r="N13" s="899">
        <f t="shared" si="0"/>
        <v>405</v>
      </c>
      <c r="O13" s="900">
        <f t="shared" si="0"/>
        <v>0</v>
      </c>
      <c r="P13" s="900">
        <f t="shared" si="0"/>
        <v>0</v>
      </c>
      <c r="Q13" s="899">
        <f t="shared" si="0"/>
        <v>1004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45</v>
      </c>
      <c r="AC13" s="899">
        <f t="shared" si="1"/>
        <v>696</v>
      </c>
      <c r="AD13" s="899">
        <f t="shared" si="1"/>
        <v>0</v>
      </c>
      <c r="AE13" s="899">
        <f t="shared" si="1"/>
        <v>0</v>
      </c>
      <c r="AF13" s="899">
        <f t="shared" si="1"/>
        <v>152</v>
      </c>
      <c r="AG13" s="899">
        <f t="shared" si="1"/>
        <v>0</v>
      </c>
      <c r="AH13" s="899">
        <f t="shared" si="1"/>
        <v>291</v>
      </c>
      <c r="AI13" s="899">
        <f t="shared" si="1"/>
        <v>0</v>
      </c>
      <c r="AJ13" s="899">
        <f t="shared" si="1"/>
        <v>0</v>
      </c>
      <c r="AK13" s="899">
        <f t="shared" si="1"/>
        <v>0</v>
      </c>
      <c r="AL13" s="899">
        <f t="shared" si="1"/>
        <v>0</v>
      </c>
      <c r="AM13" s="899">
        <f t="shared" si="1"/>
        <v>17305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1135</v>
      </c>
      <c r="BD13" s="899">
        <f t="shared" si="1"/>
        <v>2492</v>
      </c>
      <c r="BE13" s="899">
        <f t="shared" si="1"/>
        <v>0</v>
      </c>
      <c r="BF13" s="899">
        <f t="shared" si="1"/>
        <v>0</v>
      </c>
      <c r="BG13" s="899">
        <f>IF(ISNUMBER(Datos!K13/Datos!J13),Datos!K13/Datos!J13," - ")</f>
        <v>0.73181818181818181</v>
      </c>
      <c r="BH13" s="903">
        <f>IF(ISNUMBER(((Datos!L13/Datos!K13)*11)/factor_trimestre),((Datos!L13/Datos!K13)*11)/factor_trimestre," - ")</f>
        <v>10.092058562555456</v>
      </c>
      <c r="BI13" s="899">
        <f>IF(ISNUMBER('Resol  Asuntos'!D13/NºAsuntos!G13),'Resol  Asuntos'!D13/NºAsuntos!G13," - ")</f>
        <v>0.22943197897715786</v>
      </c>
      <c r="BJ13" s="899" t="str">
        <f>IF(ISNUMBER(Datos!CI13/Datos!CJ13),Datos!CI13/Datos!CJ13," - ")</f>
        <v xml:space="preserve"> - </v>
      </c>
      <c r="BK13" s="899">
        <f>SUBTOTAL(9,BK8:BK12)</f>
        <v>0</v>
      </c>
      <c r="BL13" s="899">
        <f>IF(ISNUMBER((I13-AB13+L13)/(F13)),(I13-AB13+L13)/(F13)," - ")</f>
        <v>-0.27950310559006208</v>
      </c>
      <c r="BM13" s="904">
        <f>SUBTOTAL(9,BM9:BM12)</f>
        <v>0.38155817054730701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6</v>
      </c>
      <c r="B15" s="594" t="s">
        <v>396</v>
      </c>
      <c r="C15" s="600" t="str">
        <f>Datos!A15</f>
        <v xml:space="preserve">Jdos. Instrucción                               </v>
      </c>
      <c r="D15" s="601"/>
      <c r="E15" s="1165">
        <f>IF(ISNUMBER(Datos!AQ15),Datos!AQ15," - ")</f>
        <v>6</v>
      </c>
      <c r="F15" s="595">
        <f>IF(ISNUMBER(AF15+AB15-Datos!J15-L15),AF15+AB15-Datos!J15-L15," - ")</f>
        <v>3657</v>
      </c>
      <c r="G15" s="598">
        <f>IF(ISNUMBER(IF(D_I="SI",Datos!I15,Datos!I15+Datos!AC15)),IF(D_I="SI",Datos!I15,Datos!I15+Datos!AC15)," - ")</f>
        <v>3613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132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4843</v>
      </c>
      <c r="AC15" s="226">
        <f>IF(ISNUMBER(Datos!Q15),Datos!Q15," - ")</f>
        <v>201</v>
      </c>
      <c r="AD15" s="334"/>
      <c r="AE15" s="484"/>
      <c r="AF15" s="596">
        <f>IF(ISNUMBER(IF(D_I="SI",Datos!L15,Datos!L15+Datos!AF15)),IF(D_I="SI",Datos!L15,Datos!L15+Datos!AF15)," - ")</f>
        <v>3678</v>
      </c>
      <c r="AG15" s="334"/>
      <c r="AH15" s="334"/>
      <c r="AI15" s="334"/>
      <c r="AJ15" s="334"/>
      <c r="AK15" s="334"/>
      <c r="AL15" s="479"/>
      <c r="AM15" s="335">
        <f>IF(ISNUMBER(Datos!R15),Datos!R15," - ")</f>
        <v>313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497</v>
      </c>
      <c r="BD15" s="229">
        <f>IF(ISNUMBER(Datos!N15),Datos!N15," - ")</f>
        <v>2762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0.99568256578947367</v>
      </c>
      <c r="BH15" s="260">
        <f>IF(ISNUMBER(((IF(D_I="SI",Datos!L15/Datos!K15,(Datos!L15+Datos!AF15)/(Datos!K15+Datos!AE15)))*11)/factor_trimestre),((IF(D_I="SI",Datos!L15/Datos!K15,(Datos!L15+Datos!AF15)/(Datos!K15+Datos!AE15)))*11)/factor_trimestre," - ")</f>
        <v>2.2783398719801777</v>
      </c>
      <c r="BI15" s="243">
        <f>IF(ISNUMBER('Resol  Asuntos'!D15/NºAsuntos!G15),'Resol  Asuntos'!D15/NºAsuntos!G15," - ")</f>
        <v>0.10262234152384886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542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447</v>
      </c>
      <c r="AC17" s="226">
        <f>IF(ISNUMBER(Datos!Q17),Datos!Q17," - ")</f>
        <v>6</v>
      </c>
      <c r="AD17" s="334"/>
      <c r="AE17" s="484"/>
      <c r="AF17" s="332">
        <f>IF(ISNUMBER(Datos!L17),Datos!L17,"-")</f>
        <v>579</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46</v>
      </c>
      <c r="BD17" s="229">
        <f>IF(ISNUMBER(Datos!N17),Datos!N17," - ")</f>
        <v>335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0.92355371900826444</v>
      </c>
      <c r="BH17" s="260">
        <f>IF(ISNUMBER(((IF(D_I="SI",Datos!L17/Datos!K17,(Datos!L17+Datos!AF17)/(Datos!K17+Datos!AE17)))*11)/factor_trimestre),((IF(D_I="SI",Datos!L17/Datos!K17,(Datos!L17+Datos!AF17)/(Datos!K17+Datos!AE17)))*11)/factor_trimestre," - ")</f>
        <v>3.8859060402684564</v>
      </c>
      <c r="BI17" s="243">
        <f>IF(ISNUMBER('Resol  Asuntos'!D17/NºAsuntos!G17),'Resol  Asuntos'!D17/NºAsuntos!G17," - ")</f>
        <v>0.1029082774049217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7</v>
      </c>
      <c r="F18" s="898">
        <f>SUBTOTAL(9,F15:F17)</f>
        <v>3657</v>
      </c>
      <c r="G18" s="898">
        <f>SUBTOTAL(9,G15:G17)</f>
        <v>4155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5290</v>
      </c>
      <c r="AC18" s="899">
        <f t="shared" si="4"/>
        <v>207</v>
      </c>
      <c r="AD18" s="899">
        <f t="shared" si="4"/>
        <v>0</v>
      </c>
      <c r="AE18" s="899">
        <f t="shared" si="4"/>
        <v>0</v>
      </c>
      <c r="AF18" s="899">
        <f t="shared" si="4"/>
        <v>4257</v>
      </c>
      <c r="AG18" s="899">
        <f t="shared" si="4"/>
        <v>0</v>
      </c>
      <c r="AH18" s="899">
        <f t="shared" si="4"/>
        <v>0</v>
      </c>
      <c r="AI18" s="899">
        <f t="shared" si="4"/>
        <v>0</v>
      </c>
      <c r="AJ18" s="899">
        <f t="shared" si="4"/>
        <v>0</v>
      </c>
      <c r="AK18" s="899">
        <f t="shared" si="4"/>
        <v>0</v>
      </c>
      <c r="AL18" s="899">
        <f t="shared" si="4"/>
        <v>0</v>
      </c>
      <c r="AM18" s="899">
        <f t="shared" si="4"/>
        <v>325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543</v>
      </c>
      <c r="BD18" s="899">
        <f t="shared" si="4"/>
        <v>3097</v>
      </c>
      <c r="BE18" s="899">
        <f t="shared" si="4"/>
        <v>0</v>
      </c>
      <c r="BF18" s="899">
        <f t="shared" si="4"/>
        <v>0</v>
      </c>
      <c r="BG18" s="899">
        <f>IF(ISNUMBER(Datos!K18/Datos!J18),Datos!K18/Datos!J18," - ")</f>
        <v>0.98915482423335821</v>
      </c>
      <c r="BH18" s="903">
        <f>IF(ISNUMBER(((Datos!L18/Datos!K18)*11)/factor_trimestre),((Datos!L18/Datos!K18)*11)/factor_trimestre," - ")</f>
        <v>2.4141776937618147</v>
      </c>
      <c r="BI18" s="899">
        <f>SUBTOTAL(9,BI15:BI17)</f>
        <v>0.20553061892877056</v>
      </c>
      <c r="BJ18" s="899">
        <f>SUBTOTAL(9,BJ15:BJ17)</f>
        <v>0</v>
      </c>
      <c r="BK18" s="899">
        <f>SUBTOTAL(9,BK15:BK17)</f>
        <v>0</v>
      </c>
      <c r="BL18" s="899">
        <f>IF(ISNUMBER((I18-AB18+L18)/(F18)),(I18-AB18+L18)/(F18)," - ")</f>
        <v>-1.4465408805031446</v>
      </c>
      <c r="BM18" s="905">
        <f>IF(ISNUMBER((Datos!P18-Datos!Q18)/(Datos!R18-Datos!P18+Datos!Q18)),(Datos!P18-Datos!Q18)/(Datos!R18-Datos!P18+Datos!Q18)," - ")</f>
        <v>-0.17721518987341772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19</v>
      </c>
      <c r="F19" s="820">
        <f t="shared" si="6"/>
        <v>3818</v>
      </c>
      <c r="G19" s="820">
        <f t="shared" si="6"/>
        <v>4316</v>
      </c>
      <c r="H19" s="822">
        <f t="shared" si="6"/>
        <v>0</v>
      </c>
      <c r="I19" s="820">
        <f t="shared" si="6"/>
        <v>0</v>
      </c>
      <c r="J19" s="822">
        <f t="shared" si="6"/>
        <v>0</v>
      </c>
      <c r="K19" s="822">
        <f t="shared" si="6"/>
        <v>0</v>
      </c>
      <c r="L19" s="881">
        <f t="shared" si="6"/>
        <v>0</v>
      </c>
      <c r="M19" s="881">
        <f t="shared" si="6"/>
        <v>0</v>
      </c>
      <c r="N19" s="881">
        <f t="shared" si="6"/>
        <v>405</v>
      </c>
      <c r="O19" s="881">
        <f t="shared" si="6"/>
        <v>0</v>
      </c>
      <c r="P19" s="881">
        <f t="shared" si="6"/>
        <v>0</v>
      </c>
      <c r="Q19" s="822">
        <f t="shared" si="6"/>
        <v>1141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5335</v>
      </c>
      <c r="AC19" s="821">
        <f t="shared" si="7"/>
        <v>903</v>
      </c>
      <c r="AD19" s="821">
        <f t="shared" si="7"/>
        <v>0</v>
      </c>
      <c r="AE19" s="821">
        <f t="shared" si="7"/>
        <v>0</v>
      </c>
      <c r="AF19" s="828">
        <f t="shared" si="7"/>
        <v>4409</v>
      </c>
      <c r="AG19" s="828">
        <f t="shared" si="7"/>
        <v>0</v>
      </c>
      <c r="AH19" s="828">
        <f t="shared" si="7"/>
        <v>291</v>
      </c>
      <c r="AI19" s="828">
        <f t="shared" si="7"/>
        <v>0</v>
      </c>
      <c r="AJ19" s="821">
        <f t="shared" si="7"/>
        <v>0</v>
      </c>
      <c r="AK19" s="828">
        <f t="shared" si="7"/>
        <v>0</v>
      </c>
      <c r="AL19" s="828">
        <f t="shared" si="7"/>
        <v>0</v>
      </c>
      <c r="AM19" s="828">
        <f t="shared" si="7"/>
        <v>17630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1678</v>
      </c>
      <c r="BD19" s="820">
        <f t="shared" si="7"/>
        <v>5589</v>
      </c>
      <c r="BE19" s="820">
        <f t="shared" si="7"/>
        <v>0</v>
      </c>
      <c r="BF19" s="830">
        <f t="shared" si="7"/>
        <v>0</v>
      </c>
      <c r="BG19" s="915">
        <f>IF(ISNUMBER(Datos!K19/Datos!J19),Datos!K19/Datos!J19," - ")</f>
        <v>0.85140771637122004</v>
      </c>
      <c r="BH19" s="915">
        <f>IF(ISNUMBER(((Datos!L19/Datos!K19)*11)/factor_trimestre),((Datos!L19/Datos!K19)*11)/factor_trimestre," - ")</f>
        <v>5.9467238211879971</v>
      </c>
      <c r="BI19" s="813">
        <f>IF(ISNUMBER(Datos!J19/Datos!I19),Datos!J19/Datos!I19," - ")</f>
        <v>0.65197439238570054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-1.3973284442116292</v>
      </c>
      <c r="BM19" s="889">
        <f>IF(ISNUMBER((Datos!P19-Datos!Q19+R19)/(Datos!R19-Datos!P19+Datos!Q19-R19)),(Datos!P19-Datos!Q19+R19)/(Datos!R19-Datos!P19+Datos!Q19-R19)," - ")</f>
        <v>1.3684452621895124E-2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1726.4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4.4095855184409842</v>
      </c>
      <c r="F21" s="551">
        <f>IF(ISNUMBER(STDEV(F8:F18)),STDEV(F8:F18),"-")</f>
        <v>2018.4165410869316</v>
      </c>
      <c r="G21" s="552">
        <f>IF(ISNUMBER(STDEV(G8:G18)),STDEV(G8:G18),"-")</f>
        <v>1985.0135515910213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2686.6721050399879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428.02525515163126</v>
      </c>
      <c r="BD21" s="551"/>
      <c r="BE21" s="551">
        <f>IF(ISNUMBER(STDEV(BE8:BE18)),STDEV(BE8:BE18),"-")</f>
        <v>0</v>
      </c>
      <c r="BF21" s="556">
        <f>IF(ISNUMBER(STDEV(BF8:BF18)),STDEV(BF8:BF18),"-")</f>
        <v>0</v>
      </c>
      <c r="BG21" s="775">
        <f>IF(ISNUMBER(STDEV(BG8:BG18)),STDEV(BG8:BG18),"-")</f>
        <v>0.18463064728542838</v>
      </c>
      <c r="BH21" s="776">
        <f>IF(ISNUMBER(STDEV(BH8:BH18)),STDEV(BH8:BH18),"-")</f>
        <v>3.6180621091213685</v>
      </c>
      <c r="BI21" s="249">
        <f>IF(ISNUMBER(STDEV(BI8:BI18)),STDEV(BI8:BI18),"-")</f>
        <v>6.6946338286942242E-2</v>
      </c>
      <c r="BJ21" s="230" t="str">
        <f>IF(ISNUMBER(BL21/BM21),BL21/BM21," - ")</f>
        <v xml:space="preserve"> - </v>
      </c>
      <c r="BK21" s="575"/>
      <c r="BL21" s="559">
        <f>IF(ISNUMBER(STDEV(BL8:BL18)),STDEV(BL8:BL18),"-")</f>
        <v>0.82522032454190031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sYWVpc2UtaFGYJGtmTnbelbTrWfg/ZLBApCwCwGT9xOgVpNLwcUbJp+S+rZi6mAvREMFXjiZH+Rfyn1BZdbtQ==" saltValue="fHxrHyNQmSkubl1ybaWUA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ALMERIA  Resumenes por Partidos Judiciales  ALMERIA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926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634</v>
      </c>
      <c r="AA9" s="332" t="str">
        <f>IF(ISNUMBER(IF(J_V="SI",Datos!L9,Datos!L9+Datos!AB9)-IF(Monitorios="SI",Datos!CD9,0)),
                          IF(J_V="SI",Datos!L9,Datos!L9+Datos!AB9)-IF(Monitorios="SI",Datos!CD9,0),
                          " - ")</f>
        <v xml:space="preserve"> - </v>
      </c>
      <c r="AB9" s="334"/>
      <c r="AC9" s="334"/>
      <c r="AD9" s="484"/>
      <c r="AE9" s="484">
        <f>IF(ISNUMBER(Datos!R9),Datos!R9," - ")</f>
        <v>16585</v>
      </c>
      <c r="AF9" s="229" t="str">
        <f>IF(ISNUMBER(Datos!BV9),Datos!BV9," - ")</f>
        <v xml:space="preserve"> - </v>
      </c>
      <c r="AG9" s="225" t="str">
        <f>IF(ISNUMBER(Datos!DV9),Datos!DV9," - ")</f>
        <v xml:space="preserve"> - </v>
      </c>
      <c r="AH9" s="298"/>
      <c r="AI9" s="227"/>
      <c r="AJ9" s="225">
        <f>IF(ISNUMBER(Datos!M9),Datos!M9," - ")</f>
        <v>916</v>
      </c>
      <c r="AK9" s="229">
        <f>IF(ISNUMBER(Datos!N9),Datos!N9," - ")</f>
        <v>2261</v>
      </c>
      <c r="AL9" s="229" t="str">
        <f>IF(ISNUMBER(Datos!BW9),Datos!BW9," - ")</f>
        <v xml:space="preserve"> - </v>
      </c>
      <c r="AM9" s="228" t="str">
        <f>IF(ISNUMBER(Datos!BX9),Datos!BX9," - ")</f>
        <v xml:space="preserve"> - </v>
      </c>
      <c r="AN9" s="243"/>
      <c r="AO9" s="260">
        <f>IF(ISNUMBER(((NºAsuntos!I9/NºAsuntos!G9)*11)/factor_trimestre),((NºAsuntos!I9/NºAsuntos!G9)*11)/factor_trimestre," - ")</f>
        <v>9.7868066651449439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1.792180691094335E-2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1</v>
      </c>
      <c r="F10" s="225">
        <f>IF(ISNUMBER(Datos!L10+Datos!K10-Datos!J10),Datos!L10+Datos!K10-Datos!J10," - ")</f>
        <v>161</v>
      </c>
      <c r="G10" s="225">
        <f>IF(ISNUMBER(Datos!I10),Datos!I10," - ")</f>
        <v>161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45</v>
      </c>
      <c r="Z10" s="619">
        <f>IF(ISNUMBER(Datos!Q10),Datos!Q10," - ")</f>
        <v>16</v>
      </c>
      <c r="AA10" s="332">
        <f>IF(ISNUMBER(Datos!L10),Datos!L10,"-")</f>
        <v>152</v>
      </c>
      <c r="AB10" s="334"/>
      <c r="AC10" s="334"/>
      <c r="AD10" s="484"/>
      <c r="AE10" s="484">
        <f>IF(ISNUMBER(Datos!R10),Datos!R10," - ")</f>
        <v>60</v>
      </c>
      <c r="AF10" s="229" t="str">
        <f>IF(ISNUMBER(Datos!BV10),Datos!BV10," - ")</f>
        <v xml:space="preserve"> - </v>
      </c>
      <c r="AG10" s="225" t="str">
        <f>IF(ISNUMBER(Datos!DV10),Datos!DV10," - ")</f>
        <v xml:space="preserve"> - </v>
      </c>
      <c r="AH10" s="298"/>
      <c r="AI10" s="227"/>
      <c r="AJ10" s="225">
        <f>IF(ISNUMBER(Datos!M10),Datos!M10," - ")</f>
        <v>29</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10.133333333333335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0.36363636363636365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46</v>
      </c>
      <c r="AA11" s="332" t="str">
        <f>IF(ISNUMBER(IF(J_V="SI",Datos!L11,Datos!L11+Datos!AB11)-IF(Monitorios="SI",Datos!CD11,0)),
                          IF(J_V="SI",Datos!L11,Datos!L11+Datos!AB11)-IF(Monitorios="SI",Datos!CD11,0),
                          " - ")</f>
        <v xml:space="preserve"> - </v>
      </c>
      <c r="AB11" s="334"/>
      <c r="AC11" s="334"/>
      <c r="AD11" s="484"/>
      <c r="AE11" s="484">
        <f>IF(ISNUMBER(Datos!R11),Datos!R11," - ")</f>
        <v>660</v>
      </c>
      <c r="AF11" s="229" t="str">
        <f>IF(ISNUMBER(Datos!BV11),Datos!BV11," - ")</f>
        <v xml:space="preserve"> - </v>
      </c>
      <c r="AG11" s="225" t="str">
        <f>IF(ISNUMBER(Datos!DV11),Datos!DV11," - ")</f>
        <v xml:space="preserve"> - </v>
      </c>
      <c r="AH11" s="298"/>
      <c r="AI11" s="227"/>
      <c r="AJ11" s="225">
        <f>IF(ISNUMBER(Datos!M11),Datos!M11," - ")</f>
        <v>190</v>
      </c>
      <c r="AK11" s="229">
        <f>IF(ISNUMBER(Datos!N11),Datos!N11," - ")</f>
        <v>231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5.8272552783109406</v>
      </c>
      <c r="AP11" s="230" t="str">
        <f>IF(ISNUMBER(Datos!CI11/Datos!CJ11),Datos!CI11/Datos!CJ11," - ")</f>
        <v xml:space="preserve"> - </v>
      </c>
      <c r="AQ11" s="230" t="str">
        <f>IF(ISNUMBER((J11-Y11+K11)/(F11)),(J11-Y11+K11)/(F11)," - ")</f>
        <v xml:space="preserve"> - </v>
      </c>
      <c r="AR11" s="230">
        <f>IF(ISNUMBER((Datos!P11-Datos!Q11+Datos!DE11)/(Datos!R11-Datos!P11+Datos!Q11-Datos!DE11)),(Datos!P11-Datos!Q11+Datos!DE11)/(Datos!R11-Datos!P11+Datos!Q11-Datos!DE11)," - ")</f>
        <v>0</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IF(ISNUMBER((J12-Y12+K12)/(F12)),(J12-Y12+K12)/(F12),"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12</v>
      </c>
      <c r="F13" s="898">
        <f>SUBTOTAL(9,F8:F12)</f>
        <v>161</v>
      </c>
      <c r="G13" s="898">
        <f>SUBTOTAL(9,G8:G12)</f>
        <v>161</v>
      </c>
      <c r="H13" s="908"/>
      <c r="I13" s="898">
        <f t="shared" ref="I13:N13" si="0">SUBTOTAL(9,I8:I12)</f>
        <v>0</v>
      </c>
      <c r="J13" s="867">
        <f t="shared" si="0"/>
        <v>0</v>
      </c>
      <c r="K13" s="908">
        <f t="shared" si="0"/>
        <v>0</v>
      </c>
      <c r="L13" s="908">
        <f t="shared" si="0"/>
        <v>0</v>
      </c>
      <c r="M13" s="908">
        <f t="shared" si="0"/>
        <v>0</v>
      </c>
      <c r="N13" s="908">
        <f t="shared" si="0"/>
        <v>1004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45</v>
      </c>
      <c r="Z13" s="907">
        <f t="shared" si="2"/>
        <v>696</v>
      </c>
      <c r="AA13" s="900">
        <f t="shared" si="2"/>
        <v>152</v>
      </c>
      <c r="AB13" s="900">
        <f t="shared" si="2"/>
        <v>0</v>
      </c>
      <c r="AC13" s="900">
        <f t="shared" si="2"/>
        <v>0</v>
      </c>
      <c r="AD13" s="900">
        <f t="shared" si="2"/>
        <v>0</v>
      </c>
      <c r="AE13" s="900">
        <f t="shared" si="2"/>
        <v>17305</v>
      </c>
      <c r="AF13" s="908">
        <f t="shared" si="2"/>
        <v>0</v>
      </c>
      <c r="AG13" s="908">
        <f t="shared" si="2"/>
        <v>0</v>
      </c>
      <c r="AH13" s="908">
        <f t="shared" si="2"/>
        <v>0</v>
      </c>
      <c r="AI13" s="908">
        <f t="shared" si="2"/>
        <v>0</v>
      </c>
      <c r="AJ13" s="908">
        <f t="shared" si="2"/>
        <v>1135</v>
      </c>
      <c r="AK13" s="908">
        <f t="shared" si="2"/>
        <v>2492</v>
      </c>
      <c r="AL13" s="908">
        <f t="shared" si="2"/>
        <v>0</v>
      </c>
      <c r="AM13" s="908">
        <f t="shared" si="2"/>
        <v>0</v>
      </c>
      <c r="AN13" s="908">
        <f t="shared" si="2"/>
        <v>0</v>
      </c>
      <c r="AO13" s="904">
        <f>IF(ISNUMBER(((NºAsuntos!I13/NºAsuntos!G13)*11)/factor_trimestre),((NºAsuntos!I13/NºAsuntos!G13)*11)/factor_trimestre," - ")</f>
        <v>9.372953305033354</v>
      </c>
      <c r="AP13" s="910" t="str">
        <f>IF(ISNUMBER(Datos!CI13/Datos!CJ13),Datos!CI13/Datos!CJ13," - ")</f>
        <v xml:space="preserve"> - </v>
      </c>
      <c r="AQ13" s="928">
        <f t="shared" ref="AQ13:AV13" si="3">SUBTOTAL(9,AQ9:AQ12)</f>
        <v>0</v>
      </c>
      <c r="AR13" s="928">
        <f t="shared" si="3"/>
        <v>0.38155817054730701</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6</v>
      </c>
      <c r="B15" s="507" t="s">
        <v>396</v>
      </c>
      <c r="C15" s="160" t="str">
        <f>Datos!A15</f>
        <v xml:space="preserve">Jdos. Instrucción                               </v>
      </c>
      <c r="D15" s="502"/>
      <c r="E15" s="1168">
        <f>IF(ISNUMBER(Datos!AQ15),Datos!AQ15," - ")</f>
        <v>6</v>
      </c>
      <c r="F15" s="333">
        <f>IF(ISNUMBER(AA15+Y15-Datos!J15-K15),AA15+Y15-Datos!J15-K15," - ")</f>
        <v>3657</v>
      </c>
      <c r="G15" s="225">
        <f>IF(ISNUMBER(IF(D_I="SI",Datos!I15,Datos!I15+Datos!AC15)),IF(D_I="SI",Datos!I15,Datos!I15+Datos!AC15)," - ")</f>
        <v>3613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132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4843</v>
      </c>
      <c r="Z15" s="619">
        <f>IF(ISNUMBER(Datos!Q15),Datos!Q15," - ")</f>
        <v>201</v>
      </c>
      <c r="AA15" s="332">
        <f>IF(ISNUMBER(IF(D_I="SI",Datos!L15,Datos!L15+Datos!AF15)),IF(D_I="SI",Datos!L15,Datos!L15+Datos!AF15)," - ")</f>
        <v>3678</v>
      </c>
      <c r="AB15" s="334"/>
      <c r="AC15" s="334"/>
      <c r="AD15" s="484"/>
      <c r="AE15" s="484">
        <f>IF(ISNUMBER(Datos!R15),Datos!R15," - ")</f>
        <v>313</v>
      </c>
      <c r="AF15" s="229" t="str">
        <f>IF(ISNUMBER(Datos!BV15),Datos!BV15," - ")</f>
        <v xml:space="preserve"> - </v>
      </c>
      <c r="AG15" s="225"/>
      <c r="AH15" s="298"/>
      <c r="AI15" s="227"/>
      <c r="AJ15" s="225">
        <f>IF(ISNUMBER(Datos!M15),Datos!M15," - ")</f>
        <v>497</v>
      </c>
      <c r="AK15" s="229">
        <f>IF(ISNUMBER(Datos!N15),Datos!N15," - ")</f>
        <v>2762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2.2783398719801777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542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447</v>
      </c>
      <c r="Z17" s="619">
        <f>IF(ISNUMBER(Datos!Q17),Datos!Q17," - ")</f>
        <v>6</v>
      </c>
      <c r="AA17" s="332">
        <f>IF(ISNUMBER(Datos!L17),Datos!L17,"-")</f>
        <v>579</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46</v>
      </c>
      <c r="AK17" s="229">
        <f>IF(ISNUMBER(Datos!N17),Datos!N17," - ")</f>
        <v>335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3.8859060402684564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7</v>
      </c>
      <c r="F18" s="898">
        <f>SUBTOTAL(9,F15:F17)</f>
        <v>3657</v>
      </c>
      <c r="G18" s="898">
        <f>SUBTOTAL(9,G15:G17)</f>
        <v>4155</v>
      </c>
      <c r="H18" s="932">
        <f>SUBTOTAL(9,H15:H17)</f>
        <v>0</v>
      </c>
      <c r="I18" s="911">
        <f>SUBTOTAL(9,I15:I17)</f>
        <v>0</v>
      </c>
      <c r="J18" s="867">
        <f>SUBTOTAL(9,J14:J17)</f>
        <v>0</v>
      </c>
      <c r="K18" s="932">
        <f t="shared" ref="K18:S18" si="4">SUBTOTAL(9,K15:K17)</f>
        <v>0</v>
      </c>
      <c r="L18" s="932">
        <f t="shared" si="4"/>
        <v>0</v>
      </c>
      <c r="M18" s="932">
        <f t="shared" si="4"/>
        <v>0</v>
      </c>
      <c r="N18" s="932">
        <f t="shared" si="4"/>
        <v>137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5290</v>
      </c>
      <c r="Z18" s="932">
        <f t="shared" si="5"/>
        <v>207</v>
      </c>
      <c r="AA18" s="932">
        <f t="shared" si="5"/>
        <v>4257</v>
      </c>
      <c r="AB18" s="932">
        <f t="shared" si="5"/>
        <v>0</v>
      </c>
      <c r="AC18" s="932">
        <f t="shared" si="5"/>
        <v>0</v>
      </c>
      <c r="AD18" s="932">
        <f t="shared" si="5"/>
        <v>0</v>
      </c>
      <c r="AE18" s="932">
        <f t="shared" si="5"/>
        <v>325</v>
      </c>
      <c r="AF18" s="932">
        <f t="shared" si="5"/>
        <v>0</v>
      </c>
      <c r="AG18" s="932">
        <f t="shared" si="5"/>
        <v>0</v>
      </c>
      <c r="AH18" s="932">
        <f t="shared" si="5"/>
        <v>0</v>
      </c>
      <c r="AI18" s="932">
        <f t="shared" si="5"/>
        <v>0</v>
      </c>
      <c r="AJ18" s="932">
        <f t="shared" si="5"/>
        <v>543</v>
      </c>
      <c r="AK18" s="932">
        <f t="shared" si="5"/>
        <v>3097</v>
      </c>
      <c r="AL18" s="932">
        <f t="shared" si="5"/>
        <v>0</v>
      </c>
      <c r="AM18" s="932">
        <f t="shared" si="5"/>
        <v>0</v>
      </c>
      <c r="AN18" s="932">
        <f t="shared" si="5"/>
        <v>0</v>
      </c>
      <c r="AO18" s="934">
        <f>IF(ISNUMBER(((NºAsuntos!I18/NºAsuntos!G18)*11)/factor_trimestre),((NºAsuntos!I18/NºAsuntos!G18)*11)/factor_trimestre," - ")</f>
        <v>2.4141776937618147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19</v>
      </c>
      <c r="F19" s="820">
        <f t="shared" si="7"/>
        <v>3818</v>
      </c>
      <c r="G19" s="820">
        <f t="shared" si="7"/>
        <v>4316</v>
      </c>
      <c r="H19" s="821">
        <f t="shared" si="7"/>
        <v>0</v>
      </c>
      <c r="I19" s="820">
        <f t="shared" si="7"/>
        <v>0</v>
      </c>
      <c r="J19" s="822">
        <f t="shared" si="7"/>
        <v>0</v>
      </c>
      <c r="K19" s="820">
        <f t="shared" si="7"/>
        <v>0</v>
      </c>
      <c r="L19" s="823">
        <f t="shared" si="7"/>
        <v>0</v>
      </c>
      <c r="M19" s="820">
        <f t="shared" si="7"/>
        <v>0</v>
      </c>
      <c r="N19" s="821">
        <f t="shared" si="7"/>
        <v>1141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5335</v>
      </c>
      <c r="Z19" s="827">
        <f t="shared" si="8"/>
        <v>903</v>
      </c>
      <c r="AA19" s="828">
        <f t="shared" si="8"/>
        <v>4409</v>
      </c>
      <c r="AB19" s="828">
        <f t="shared" si="8"/>
        <v>0</v>
      </c>
      <c r="AC19" s="828">
        <f t="shared" si="8"/>
        <v>0</v>
      </c>
      <c r="AD19" s="829">
        <f t="shared" si="8"/>
        <v>0</v>
      </c>
      <c r="AE19" s="829">
        <f t="shared" si="8"/>
        <v>17630</v>
      </c>
      <c r="AF19" s="830">
        <f t="shared" si="8"/>
        <v>0</v>
      </c>
      <c r="AG19" s="831">
        <f t="shared" si="8"/>
        <v>0</v>
      </c>
      <c r="AH19" s="832">
        <f t="shared" si="8"/>
        <v>0</v>
      </c>
      <c r="AI19" s="830">
        <f t="shared" si="8"/>
        <v>0</v>
      </c>
      <c r="AJ19" s="820">
        <f t="shared" si="8"/>
        <v>1678</v>
      </c>
      <c r="AK19" s="820">
        <f t="shared" si="8"/>
        <v>5589</v>
      </c>
      <c r="AL19" s="820">
        <f t="shared" si="8"/>
        <v>0</v>
      </c>
      <c r="AM19" s="833">
        <f t="shared" si="8"/>
        <v>0</v>
      </c>
      <c r="AN19" s="823">
        <f>IF(ISNUMBER(Datos!K19/Datos!J19),Datos!K19/Datos!J19," - ")</f>
        <v>0.85140771637122004</v>
      </c>
      <c r="AO19" s="823">
        <f>IF(ISNUMBER(FIND("06",Criterios!A8,1)),(IF(ISNUMBER(((Datos!R19/Datos!Q19)*11)/factor_trimestre),((Datos!R19/Datos!Q19)*11)/factor_trimestre," - ")),(IF(ISNUMBER(((Datos!L19/Datos!K19)*11)/factor_trimestre),((Datos!L19/Datos!K19)*11)/factor_trimestre," - ")))</f>
        <v>5.9467238211879971</v>
      </c>
      <c r="AP19" s="834" t="str">
        <f>IF(ISNUMBER(Datos!CI19/Datos!CJ19),Datos!CI19/Datos!CJ19," - ")</f>
        <v xml:space="preserve"> - </v>
      </c>
      <c r="AQ19" s="834">
        <f>IF(OR(ISNUMBER(FIND("01",Criterios!A8,1)),ISNUMBER(FIND("02",Criterios!A8,1)),ISNUMBER(FIND("03",Criterios!A8,1)),ISNUMBER(FIND("04",Criterios!A8,1))),(J19-Y19+K19)/(F19-K19),(I19-Y19+K19)/(F19-K19))</f>
        <v>-1.3973284442116292</v>
      </c>
      <c r="AR19" s="834">
        <f>IF(ISNUMBER((Datos!P19-Datos!Q19+O19)/(Datos!R19-Datos!P19+Datos!Q19-O19)),(Datos!P19-Datos!Q19+O19)/(Datos!R19-Datos!P19+Datos!Q19-O19)," - ")</f>
        <v>1.3684452621895124E-2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1726.4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2018.4165410869316</v>
      </c>
      <c r="G21" s="552">
        <f>IF(ISNUMBER(STDEV(G8:G18)),STDEV(G8:G18),"-")</f>
        <v>1985.0135515910213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428.02525515163126</v>
      </c>
      <c r="AK21" s="252"/>
      <c r="AL21" s="252">
        <f>IF(ISNUMBER(STDEV(AL8:AL18)),STDEV(AL8:AL18),"-")</f>
        <v>0</v>
      </c>
      <c r="AM21" s="254">
        <f>IF(ISNUMBER(STDEV(AM8:AM18)),STDEV(AM8:AM18),"-")</f>
        <v>0</v>
      </c>
      <c r="AN21" s="539">
        <f>IF(ISNUMBER(STDEV(AN8:AN18)),STDEV(AN8:AN18),"-")</f>
        <v>0</v>
      </c>
      <c r="AO21" s="540">
        <f>IF(ISNUMBER(STDEV(AO8:AO18)),STDEV(AO8:AO18),"-")</f>
        <v>3.5023090454515584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eiZ3INj2dO5HjlJtGk4yRn9r7ZEvDFR0H+dDb5nN8PczcOlBGgdtmtpzn1kn6D5xxVSN1LE+j0PIc45LzWF7Q==" saltValue="DPH0HPpZZryopcxwXL5M3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XKCntGdcdXD3FDSlddPxq0DILGMa67rTp7W0pDwqJVXA/JDTVInTEWn+RrkxL1bJ7PjKyYFXlBdhLEIY8oqQzA==" saltValue="i0mEXUNuJe/BuAbsY/xti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T3FqAOo7UIwZREbrmZt4QzBBC5XaPZfHO0GlQtLjnMgRBhawPJzgqjTPaf4afc6eIveg0XFRKLFDo0y1o3ehyg==" saltValue="5ao8K1RuJJDYyJI+9oNPB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ALMERIA  Resumenes por Partidos Judiciales  ALMERIA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0.22943197897715786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0.16223290815579774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UDtYluoG1ar7s+RkfDf4sSk5Z7Anm8SmIsbOLgfJz1+zIoVI52NacDoRLYcrwM6X2+1f64GgXmTcUJX21W+nZA==" saltValue="+3icr5TwIXknSaJ9fh4VI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v/SXh1CAogDQQOu1pxsqtSNRiQv8+/Iy94/ME9o5Es4SjXVuxl0xIdIUd2DZ+HOsHxubonQH8Iex6PhLG7FkQ==" saltValue="kdiN6oS3dLDo4Vju8zba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ALMERIA  Resumenes por Partidos Judiciales  ALMERIA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9</v>
      </c>
      <c r="B9" s="501" t="s">
        <v>246</v>
      </c>
      <c r="C9" s="160" t="str">
        <f>Datos!A9</f>
        <v xml:space="preserve">Jdos. 1ª Instancia   </v>
      </c>
      <c r="D9" s="502"/>
      <c r="E9" s="682">
        <f>IF(ISNUMBER(Datos!AQ9),Datos!AQ9," - ")</f>
        <v>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1</v>
      </c>
      <c r="F10" s="683">
        <f>IF(ISNUMBER(Datos!L10+Datos!K10-Datos!J10),Datos!L10+Datos!K10-Datos!J10," - ")</f>
        <v>161</v>
      </c>
      <c r="G10" s="684">
        <f>IF(ISNUMBER(Datos!I10),Datos!I10," - ")</f>
        <v>161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45</v>
      </c>
      <c r="AC10" s="683" t="str">
        <f>IF(ISNUMBER(IF(D_I="SI",DatosP!K17,DatosP!K17+DatosP!AE17)),IF(D_I="SI",DatosP!K17,DatosP!K17+DatosP!AE17)," - ")</f>
        <v xml:space="preserve"> - </v>
      </c>
      <c r="AD10" s="685"/>
      <c r="AE10" s="685"/>
      <c r="AF10" s="688">
        <f>IF(ISNUMBER(Datos!L10),Datos!L10,"-")</f>
        <v>152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29</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10.133333333333335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12</v>
      </c>
      <c r="F13" s="938">
        <f t="shared" si="0"/>
        <v>161</v>
      </c>
      <c r="G13" s="938">
        <f t="shared" si="0"/>
        <v>161</v>
      </c>
      <c r="H13" s="938">
        <f t="shared" si="0"/>
        <v>0</v>
      </c>
      <c r="I13" s="940">
        <f t="shared" si="0"/>
        <v>0</v>
      </c>
      <c r="J13" s="939">
        <f t="shared" si="0"/>
        <v>0</v>
      </c>
      <c r="K13" s="939">
        <f t="shared" si="0"/>
        <v>0</v>
      </c>
      <c r="L13" s="941">
        <f t="shared" si="0"/>
        <v>0</v>
      </c>
      <c r="M13" s="941">
        <f t="shared" si="0"/>
        <v>0</v>
      </c>
      <c r="N13" s="939">
        <f t="shared" si="0"/>
        <v>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45</v>
      </c>
      <c r="AC13" s="939">
        <f t="shared" si="1"/>
        <v>0</v>
      </c>
      <c r="AD13" s="939">
        <f t="shared" si="1"/>
        <v>0</v>
      </c>
      <c r="AE13" s="939">
        <f t="shared" si="1"/>
        <v>0</v>
      </c>
      <c r="AF13" s="939">
        <f t="shared" si="1"/>
        <v>152</v>
      </c>
      <c r="AG13" s="939">
        <f t="shared" si="1"/>
        <v>0</v>
      </c>
      <c r="AH13" s="939">
        <f t="shared" si="1"/>
        <v>0</v>
      </c>
      <c r="AI13" s="939">
        <f t="shared" si="1"/>
        <v>0</v>
      </c>
      <c r="AJ13" s="939">
        <f t="shared" si="1"/>
        <v>0</v>
      </c>
      <c r="AK13" s="939">
        <f t="shared" si="1"/>
        <v>0</v>
      </c>
      <c r="AL13" s="939">
        <f t="shared" si="1"/>
        <v>29</v>
      </c>
      <c r="AM13" s="939">
        <f t="shared" si="1"/>
        <v>0</v>
      </c>
      <c r="AN13" s="939">
        <f t="shared" si="1"/>
        <v>0</v>
      </c>
      <c r="AO13" s="939">
        <f t="shared" si="1"/>
        <v>0</v>
      </c>
      <c r="AP13" s="944">
        <f>IF(ISNUMBER(((Datos!L13/Datos!K13)*11)/factor_trimestre),((Datos!L13/Datos!K13)*11)/factor_trimestre," - ")</f>
        <v>10.092058562555456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-0.27950310559006208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2.4141776937618147</v>
      </c>
      <c r="AQ18" s="944">
        <f>IF(ISNUMBER(((Datos!M18/Datos!L18)*11)/factor_trimestre),((Datos!M18/Datos!L18)*11)/factor_trimestre," - ")</f>
        <v>0.3826638477801268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-0.17721518987341772</v>
      </c>
      <c r="AW18" s="946">
        <f>IF(ISNUMBER((Datos!Q18-Datos!R18)/(Datos!S18-Datos!Q18+Datos!R18)),(Datos!Q18-Datos!R18)/(Datos!S18-Datos!Q18+Datos!R18)," - ")</f>
        <v>-3.4818530539982295E-2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12</v>
      </c>
      <c r="F19" s="951">
        <f t="shared" si="4"/>
        <v>161</v>
      </c>
      <c r="G19" s="951">
        <f t="shared" si="4"/>
        <v>161</v>
      </c>
      <c r="H19" s="951">
        <f t="shared" si="4"/>
        <v>0</v>
      </c>
      <c r="I19" s="952">
        <f t="shared" si="4"/>
        <v>0</v>
      </c>
      <c r="J19" s="953">
        <f t="shared" si="4"/>
        <v>0</v>
      </c>
      <c r="K19" s="953">
        <f t="shared" si="4"/>
        <v>0</v>
      </c>
      <c r="L19" s="953">
        <f t="shared" si="4"/>
        <v>0</v>
      </c>
      <c r="M19" s="953">
        <f t="shared" si="4"/>
        <v>0</v>
      </c>
      <c r="N19" s="952">
        <f t="shared" si="4"/>
        <v>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45</v>
      </c>
      <c r="AC19" s="957">
        <f t="shared" si="5"/>
        <v>0</v>
      </c>
      <c r="AD19" s="957">
        <f t="shared" si="5"/>
        <v>0</v>
      </c>
      <c r="AE19" s="957">
        <f t="shared" si="5"/>
        <v>0</v>
      </c>
      <c r="AF19" s="958">
        <f t="shared" si="5"/>
        <v>152</v>
      </c>
      <c r="AG19" s="958">
        <f t="shared" si="5"/>
        <v>0</v>
      </c>
      <c r="AH19" s="958">
        <f t="shared" si="5"/>
        <v>0</v>
      </c>
      <c r="AI19" s="958">
        <f t="shared" si="5"/>
        <v>0</v>
      </c>
      <c r="AJ19" s="959">
        <f t="shared" si="5"/>
        <v>0</v>
      </c>
      <c r="AK19" s="959">
        <f t="shared" si="5"/>
        <v>0</v>
      </c>
      <c r="AL19" s="951">
        <f t="shared" si="5"/>
        <v>29</v>
      </c>
      <c r="AM19" s="951">
        <f t="shared" si="5"/>
        <v>0</v>
      </c>
      <c r="AN19" s="951">
        <f t="shared" si="5"/>
        <v>0</v>
      </c>
      <c r="AO19" s="951">
        <f t="shared" si="5"/>
        <v>0</v>
      </c>
      <c r="AP19" s="951">
        <f>IF(ISNUMBER(((Datos!L19/Datos!K19)*11)/factor_trimestre),((Datos!L19/Datos!K19)*11)/factor_trimestre," - ")</f>
        <v>5.9467238211879971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-0.27950310559006208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1.3684452621895124E-2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107.33333333333333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5.1768716422179137</v>
      </c>
      <c r="F21" s="736">
        <f>IF(ISNUMBER(STDEV(F8:F18)),STDEV(F8:F18),"-")</f>
        <v>92.95339333952974</v>
      </c>
      <c r="G21" s="737">
        <f>IF(ISNUMBER(STDEV(G8:G18)),STDEV(G8:G18),"-")</f>
        <v>92.95339333952974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25.98076211353316</v>
      </c>
      <c r="AC21" s="738">
        <f>IF(ISNUMBER(STDEV(AC8:AC18)),STDEV(AC8:AC18),"-")</f>
        <v>0</v>
      </c>
      <c r="AD21" s="741"/>
      <c r="AE21" s="741"/>
      <c r="AF21" s="741"/>
      <c r="AG21" s="741"/>
      <c r="AH21" s="741"/>
      <c r="AI21" s="741"/>
      <c r="AJ21" s="742">
        <f>IF(ISNUMBER(STDEV(AJ8:AJ18)),STDEV(AJ8:AJ18),"-")</f>
        <v>0</v>
      </c>
      <c r="AK21" s="744"/>
      <c r="AL21" s="736">
        <f>IF(ISNUMBER(STDEV(AL8:AL18)),STDEV(AL8:AL18),"-")</f>
        <v>16.743157806499148</v>
      </c>
      <c r="AM21" s="736"/>
      <c r="AN21" s="736">
        <f>IF(ISNUMBER(STDEV(AN8:AN18)),STDEV(AN8:AN18),"-")</f>
        <v>0</v>
      </c>
      <c r="AO21" s="742">
        <f>IF(ISNUMBER(STDEV(AO8:AO18)),STDEV(AO8:AO18),"-")</f>
        <v>0</v>
      </c>
      <c r="AP21" s="779">
        <f>IF(ISNUMBER(STDEV(AP8:AP18)),STDEV(AP8:AP18),"-")</f>
        <v>4.4447894968906967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ed4NImT20MgvUc/t/bCiZd/7gNwCqQwiPBh/cmaiQlnkU2UVLxC7ndbuTPx8Ndb8bCs6ctFJz9NiIiyXXJYQow==" saltValue="eUmQFhhNnKnCg9wvSTLIr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